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O:\CD Systems\3TG\Declarations\"/>
    </mc:Choice>
  </mc:AlternateContent>
  <workbookProtection workbookPassword="E31B" lockStructure="1"/>
  <bookViews>
    <workbookView xWindow="0" yWindow="0" windowWidth="28800" windowHeight="120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c r="B56" i="6"/>
  <c r="G56" i="6" s="1"/>
  <c r="B55" i="6"/>
  <c r="G55" i="6" s="1"/>
  <c r="B54" i="6"/>
  <c r="G54" i="6" s="1"/>
  <c r="B53" i="6"/>
  <c r="G53" i="6" s="1"/>
  <c r="B50" i="6"/>
  <c r="G50" i="6" s="1"/>
  <c r="H14" i="6"/>
  <c r="H61" i="4"/>
  <c r="B86" i="4"/>
  <c r="B23" i="6" l="1"/>
  <c r="B43" i="6" s="1"/>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C13" i="6"/>
  <c r="C7" i="6"/>
  <c r="C11" i="6"/>
  <c r="C10" i="6"/>
  <c r="C12" i="6"/>
  <c r="C8" i="6"/>
  <c r="C5" i="6"/>
  <c r="C14" i="5"/>
  <c r="B14" i="5"/>
  <c r="C11" i="5"/>
  <c r="B11" i="5"/>
  <c r="C10" i="5"/>
  <c r="B10" i="5"/>
  <c r="C9" i="5"/>
  <c r="B9" i="5"/>
  <c r="B8" i="5"/>
  <c r="C8" i="5"/>
  <c r="C7" i="5"/>
  <c r="B7" i="5"/>
  <c r="C6" i="5"/>
  <c r="B6" i="5"/>
  <c r="B5" i="5"/>
  <c r="C5" i="5"/>
  <c r="B48" i="6"/>
  <c r="G23" i="6"/>
  <c r="H23" i="6" s="1"/>
  <c r="D23" i="6" s="1"/>
  <c r="B33" i="6"/>
  <c r="B38" i="6"/>
  <c r="B2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41" i="6" l="1"/>
  <c r="H41" i="6" s="1"/>
  <c r="H25" i="6"/>
  <c r="C25" i="6" s="1"/>
  <c r="H36" i="6"/>
  <c r="C36"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H31" i="6"/>
  <c r="D31" i="6" s="1"/>
  <c r="F46" i="6"/>
  <c r="H46" i="6" s="1"/>
  <c r="F31" i="6"/>
  <c r="C20" i="6"/>
  <c r="D21" i="6"/>
  <c r="C21" i="6"/>
  <c r="K63" i="6"/>
  <c r="D26" i="6"/>
  <c r="H32" i="6"/>
  <c r="C32" i="6" s="1"/>
  <c r="C22"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C41" i="6" l="1"/>
  <c r="D41" i="6"/>
  <c r="D25"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209" i="5"/>
  <c r="T87" i="5"/>
  <c r="T517" i="5"/>
  <c r="T207" i="5"/>
  <c r="T174" i="5"/>
  <c r="T528" i="5"/>
  <c r="T415" i="5"/>
  <c r="T349" i="5"/>
  <c r="T192" i="5"/>
  <c r="T260" i="5"/>
  <c r="T190" i="5"/>
  <c r="T139" i="5"/>
  <c r="T532" i="5"/>
  <c r="T516" i="5"/>
  <c r="T470" i="5"/>
  <c r="T448" i="5"/>
  <c r="T354" i="5"/>
  <c r="T223" i="5"/>
  <c r="T374" i="5"/>
  <c r="T515" i="5"/>
  <c r="T206" i="5"/>
  <c r="T62" i="5"/>
  <c r="T491" i="5"/>
  <c r="T535" i="5"/>
  <c r="T472" i="5"/>
  <c r="T357" i="5"/>
  <c r="T247" i="5"/>
  <c r="T168" i="5"/>
  <c r="T148" i="5"/>
  <c r="T56" i="5"/>
  <c r="T78" i="5"/>
  <c r="T403" i="5"/>
  <c r="T538" i="5"/>
  <c r="T278" i="5"/>
  <c r="T189" i="5"/>
  <c r="T72" i="5"/>
  <c r="T91"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80" i="5"/>
  <c r="T157" i="5"/>
  <c r="T82" i="5"/>
  <c r="T565" i="5"/>
  <c r="T455" i="5"/>
  <c r="T140" i="5"/>
  <c r="T270" i="5"/>
  <c r="T103" i="5"/>
  <c r="T558" i="5"/>
  <c r="T442" i="5"/>
  <c r="T353" i="5"/>
  <c r="T194" i="5"/>
  <c r="T160" i="5"/>
  <c r="T101" i="5"/>
  <c r="T161" i="5"/>
  <c r="T133" i="5"/>
  <c r="T499" i="5"/>
  <c r="T381" i="5"/>
  <c r="T512" i="5"/>
  <c r="T458" i="5"/>
  <c r="T158" i="5"/>
  <c r="T552" i="5"/>
  <c r="T483" i="5"/>
  <c r="T423" i="5"/>
  <c r="T267" i="5"/>
  <c r="T109" i="5"/>
  <c r="T180" i="5"/>
  <c r="T488" i="5"/>
  <c r="T561" i="5"/>
  <c r="T553" i="5"/>
  <c r="T556" i="5"/>
  <c r="T527" i="5"/>
  <c r="T545" i="5"/>
  <c r="T446" i="5"/>
  <c r="T276" i="5"/>
  <c r="T144" i="5"/>
  <c r="T511" i="5"/>
  <c r="T277" i="5"/>
  <c r="T480" i="5"/>
  <c r="T269" i="5"/>
  <c r="T185" i="5"/>
  <c r="T54" i="5"/>
  <c r="T271" i="5"/>
  <c r="T437" i="5"/>
  <c r="T501" i="5"/>
  <c r="T371" i="5"/>
  <c r="T251" i="5"/>
  <c r="T263" i="5"/>
  <c r="T235" i="5"/>
  <c r="T188" i="5"/>
  <c r="T107" i="5"/>
  <c r="T69" i="5"/>
  <c r="T521" i="5"/>
  <c r="T367" i="5"/>
  <c r="T368" i="5"/>
  <c r="T203" i="5"/>
  <c r="T503" i="5"/>
  <c r="T238" i="5"/>
  <c r="T89" i="5"/>
  <c r="T575" i="5"/>
  <c r="T395" i="5"/>
  <c r="T375" i="5"/>
  <c r="T225" i="5"/>
  <c r="T242" i="5"/>
  <c r="T152" i="5"/>
  <c r="T142" i="5"/>
  <c r="T119" i="5"/>
  <c r="T106" i="5"/>
  <c r="T547" i="5"/>
  <c r="T560" i="5"/>
  <c r="T544" i="5"/>
  <c r="T444" i="5"/>
  <c r="T394" i="5"/>
  <c r="T217" i="5"/>
  <c r="T228" i="5"/>
  <c r="T176" i="5"/>
  <c r="T127"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177" i="5"/>
  <c r="T86" i="5"/>
  <c r="T84" i="5"/>
  <c r="T529" i="5"/>
  <c r="T377" i="5"/>
  <c r="T384" i="5"/>
  <c r="T240" i="5"/>
  <c r="S541" i="5"/>
  <c r="T554" i="5"/>
  <c r="T585" i="5"/>
  <c r="T454" i="5"/>
  <c r="T439" i="5"/>
  <c r="T359" i="5"/>
  <c r="T250"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T366" i="5"/>
  <c r="T525" i="5"/>
  <c r="T199" i="5"/>
  <c r="T231" i="5"/>
  <c r="T280" i="5"/>
  <c r="T132" i="5"/>
  <c r="T551" i="5"/>
  <c r="T435" i="5"/>
  <c r="T568" i="5"/>
  <c r="S468" i="5"/>
  <c r="T273" i="5"/>
  <c r="T426" i="5"/>
  <c r="T533" i="5"/>
  <c r="T120" i="5"/>
  <c r="T405" i="5"/>
  <c r="T557" i="5"/>
  <c r="T429" i="5"/>
  <c r="T411" i="5"/>
  <c r="T388" i="5"/>
  <c r="T237" i="5"/>
  <c r="T171" i="5"/>
  <c r="T66" i="5"/>
  <c r="T59" i="5"/>
  <c r="T245" i="5"/>
  <c r="T476" i="5"/>
  <c r="T440" i="5"/>
  <c r="T137" i="5"/>
  <c r="T427" i="5"/>
  <c r="T239" i="5"/>
  <c r="T261" i="5"/>
  <c r="T540" i="5"/>
  <c r="T487" i="5"/>
  <c r="T373" i="5"/>
  <c r="T408" i="5"/>
  <c r="T482" i="5"/>
  <c r="T249" i="5"/>
  <c r="T234" i="5"/>
  <c r="T279" i="5"/>
  <c r="T117" i="5"/>
  <c r="T453" i="5"/>
  <c r="T183" i="5"/>
  <c r="T76" i="5"/>
  <c r="T184" i="5"/>
  <c r="T105" i="5"/>
  <c r="T268" i="5"/>
  <c r="T492" i="5"/>
  <c r="T477" i="5"/>
  <c r="T123" i="5"/>
  <c r="T543" i="5"/>
  <c r="T576" i="5"/>
  <c r="T459" i="5"/>
  <c r="T202" i="5"/>
  <c r="T55" i="5"/>
  <c r="T523" i="5"/>
  <c r="T431" i="5"/>
  <c r="T392" i="5"/>
  <c r="T390" i="5"/>
  <c r="T252" i="5"/>
  <c r="T205" i="5"/>
  <c r="T96" i="5"/>
  <c r="T155" i="5"/>
  <c r="T60" i="5"/>
  <c r="T111" i="5"/>
  <c r="T355" i="5"/>
  <c r="T266" i="5"/>
  <c r="T265" i="5"/>
  <c r="T254" i="5"/>
  <c r="T494" i="5"/>
  <c r="T79" i="5"/>
  <c r="T63" i="5"/>
  <c r="T282" i="5"/>
  <c r="T236" i="5"/>
  <c r="T193" i="5"/>
  <c r="T170" i="5"/>
  <c r="T166" i="5"/>
  <c r="T566" i="5"/>
  <c r="T506" i="5"/>
  <c r="T126" i="5"/>
  <c r="T520" i="5"/>
  <c r="T486" i="5"/>
  <c r="T387" i="5"/>
  <c r="T246" i="5"/>
  <c r="T243" i="5"/>
  <c r="T134" i="5"/>
  <c r="T114" i="5"/>
  <c r="T97" i="5"/>
  <c r="T169" i="5"/>
  <c r="T178" i="5"/>
  <c r="T47" i="5"/>
  <c r="T43" i="5"/>
  <c r="T39" i="5"/>
  <c r="T35" i="5"/>
  <c r="T32" i="5"/>
  <c r="T28" i="5"/>
  <c r="T24" i="5"/>
  <c r="T20" i="5"/>
  <c r="T17" i="5"/>
  <c r="T13" i="5"/>
  <c r="T9" i="5"/>
  <c r="T5" i="5"/>
  <c r="T22" i="5"/>
  <c r="S17" i="5"/>
  <c r="T14" i="5"/>
  <c r="T50" i="5"/>
  <c r="T46" i="5"/>
  <c r="T42" i="5"/>
  <c r="T38" i="5"/>
  <c r="T34" i="5"/>
  <c r="T31" i="5"/>
  <c r="T27" i="5"/>
  <c r="T23" i="5"/>
  <c r="T19" i="5"/>
  <c r="T16" i="5"/>
  <c r="T12" i="5"/>
  <c r="T8" i="5"/>
  <c r="T18" i="5"/>
  <c r="T11" i="5"/>
  <c r="T7" i="5"/>
  <c r="T6" i="5"/>
  <c r="T49" i="5"/>
  <c r="T45" i="5"/>
  <c r="T41" i="5"/>
  <c r="T37" i="5"/>
  <c r="T33" i="5"/>
  <c r="T30" i="5"/>
  <c r="T26" i="5"/>
  <c r="T15" i="5"/>
  <c r="T10" i="5"/>
  <c r="T48" i="5"/>
  <c r="T44" i="5"/>
  <c r="T40" i="5"/>
  <c r="T36" i="5"/>
  <c r="S33" i="5"/>
  <c r="T29" i="5"/>
  <c r="T25" i="5"/>
  <c r="T21" i="5"/>
  <c r="H65" i="6" l="1"/>
  <c r="D65" i="6" s="1"/>
  <c r="C65" i="6"/>
  <c r="H64" i="6"/>
  <c r="D64" i="6" s="1"/>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515" i="5"/>
  <c r="S374" i="5"/>
  <c r="S64" i="5"/>
  <c r="S219" i="5"/>
  <c r="S407" i="5"/>
  <c r="S516" i="5"/>
  <c r="S372" i="5"/>
  <c r="S51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201" i="5"/>
  <c r="S420" i="5"/>
  <c r="S146" i="5"/>
  <c r="S110" i="5"/>
  <c r="S356" i="5"/>
  <c r="S432" i="5"/>
  <c r="S202" i="5"/>
  <c r="S218" i="5"/>
  <c r="S535" i="5"/>
  <c r="S206" i="5"/>
  <c r="S268" i="5"/>
  <c r="S119" i="5"/>
  <c r="S375" i="5"/>
  <c r="S190" i="5"/>
  <c r="S203" i="5"/>
  <c r="S427" i="5"/>
  <c r="S235" i="5"/>
  <c r="S251" i="5"/>
  <c r="S382" i="5"/>
  <c r="S429" i="5"/>
  <c r="S481" i="5"/>
  <c r="S362" i="5"/>
  <c r="S414" i="5"/>
  <c r="S271" i="5"/>
  <c r="S54" i="5"/>
  <c r="S480" i="5"/>
  <c r="S361" i="5"/>
  <c r="S553" i="5"/>
  <c r="S124" i="5"/>
  <c r="S267" i="5"/>
  <c r="S421" i="5"/>
  <c r="S385" i="5"/>
  <c r="S483" i="5"/>
  <c r="S173" i="5"/>
  <c r="S19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8" i="5"/>
  <c r="S68" i="5"/>
  <c r="S194" i="5"/>
  <c r="S257" i="5"/>
  <c r="S571" i="5"/>
  <c r="S167" i="5"/>
  <c r="S253" i="5"/>
  <c r="S93" i="5"/>
  <c r="S386" i="5"/>
  <c r="S506" i="5"/>
  <c r="S364" i="5"/>
  <c r="S58" i="5"/>
  <c r="S92" i="5"/>
  <c r="S357" i="5"/>
  <c r="S560" i="5"/>
  <c r="S281" i="5"/>
  <c r="S395" i="5"/>
  <c r="S460" i="5"/>
  <c r="S239" i="5"/>
  <c r="S445"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472" i="5"/>
  <c r="S492" i="5"/>
  <c r="S585" i="5"/>
  <c r="S98" i="5"/>
  <c r="S156" i="5"/>
  <c r="S176" i="5"/>
  <c r="S102" i="5"/>
  <c r="S555" i="5"/>
  <c r="S144" i="5"/>
  <c r="S111" i="5"/>
  <c r="S523" i="5"/>
  <c r="S217" i="5"/>
  <c r="S576" i="5"/>
  <c r="S100" i="5"/>
  <c r="S225" i="5"/>
  <c r="S256" i="5"/>
  <c r="S482"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243" i="5"/>
  <c r="S406" i="5"/>
  <c r="S399" i="5"/>
  <c r="S418" i="5"/>
  <c r="S469" i="5"/>
  <c r="S498" i="5"/>
  <c r="S566" i="5"/>
  <c r="S193" i="5"/>
  <c r="S232" i="5"/>
  <c r="S182" i="5"/>
  <c r="S244" i="5"/>
  <c r="S205" i="5"/>
  <c r="S459" i="5"/>
  <c r="S123" i="5"/>
  <c r="S242" i="5"/>
  <c r="S532" i="5"/>
  <c r="S238" i="5"/>
  <c r="S53" i="5"/>
  <c r="S476" i="5"/>
  <c r="S500" i="5"/>
  <c r="S531" i="5"/>
  <c r="S568" i="5"/>
  <c r="S134" i="5"/>
  <c r="S101" i="5"/>
  <c r="S462" i="5"/>
  <c r="S211" i="5"/>
  <c r="S578" i="5"/>
  <c r="S351" i="5"/>
  <c r="S542" i="5"/>
  <c r="S145" i="5"/>
  <c r="S181" i="5"/>
  <c r="S61" i="5"/>
  <c r="S165" i="5"/>
  <c r="S216" i="5"/>
  <c r="S212" i="5"/>
  <c r="S383" i="5"/>
  <c r="S56" i="5"/>
  <c r="S491" i="5"/>
  <c r="S62" i="5"/>
  <c r="S456" i="5"/>
  <c r="S474"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457" i="5"/>
  <c r="S133" i="5"/>
  <c r="S161" i="5"/>
  <c r="S387" i="5"/>
  <c r="S141" i="5"/>
  <c r="S378" i="5"/>
  <c r="S380" i="5"/>
  <c r="S236" i="5"/>
  <c r="S143" i="5"/>
  <c r="S196" i="5"/>
  <c r="S254" i="5"/>
  <c r="S266" i="5"/>
  <c r="S278" i="5"/>
  <c r="S363" i="5"/>
  <c r="S127" i="5"/>
  <c r="S477" i="5"/>
  <c r="S575" i="5"/>
  <c r="S89" i="5"/>
  <c r="S154" i="5"/>
  <c r="S263" i="5"/>
  <c r="S467"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200" i="5"/>
  <c r="S520" i="5"/>
  <c r="S197" i="5"/>
  <c r="S370" i="5"/>
  <c r="S160" i="5"/>
  <c r="S246" i="5"/>
  <c r="S353"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49" i="5"/>
  <c r="S45" i="5"/>
  <c r="S41" i="5"/>
  <c r="S37" i="5"/>
  <c r="S32" i="5"/>
  <c r="S28" i="5"/>
  <c r="S24" i="5"/>
  <c r="S20" i="5"/>
  <c r="S15" i="5"/>
  <c r="S11" i="5"/>
  <c r="S7" i="5"/>
  <c r="S47" i="5"/>
  <c r="S35" i="5"/>
  <c r="S26" i="5"/>
  <c r="S18" i="5"/>
  <c r="S9" i="5"/>
  <c r="S50" i="5"/>
  <c r="S38" i="5"/>
  <c r="S25" i="5"/>
  <c r="S12" i="5"/>
  <c r="S8" i="5"/>
  <c r="S48" i="5"/>
  <c r="S44" i="5"/>
  <c r="S40" i="5"/>
  <c r="S36" i="5"/>
  <c r="S31" i="5"/>
  <c r="S27" i="5"/>
  <c r="S23" i="5"/>
  <c r="S19" i="5"/>
  <c r="S14" i="5"/>
  <c r="S10" i="5"/>
  <c r="S6" i="5"/>
  <c r="S43" i="5"/>
  <c r="S39" i="5"/>
  <c r="S30" i="5"/>
  <c r="S22" i="5"/>
  <c r="S13" i="5"/>
  <c r="S5" i="5"/>
  <c r="S46" i="5"/>
  <c r="S42" i="5"/>
  <c r="S34" i="5"/>
  <c r="S29" i="5"/>
  <c r="S16" i="5"/>
  <c r="S21"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<sst xmlns="http://schemas.openxmlformats.org/spreadsheetml/2006/main" count="21669" uniqueCount="15506">
  <si>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</si>
  <si>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</si>
  <si>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</si>
  <si>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</si>
  <si>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</si>
  <si>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</si>
  <si>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</si>
  <si>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</si>
  <si>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</si>
  <si>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</si>
  <si>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</si>
  <si>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</si>
  <si>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</si>
  <si>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</si>
  <si>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</si>
  <si>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</si>
  <si>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</si>
  <si>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</si>
  <si>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</si>
  <si>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</si>
  <si>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</si>
  <si>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</si>
  <si>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</si>
  <si>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</si>
  <si>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</si>
  <si>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</si>
  <si>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</si>
  <si>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</si>
  <si>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</si>
  <si>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</si>
  <si>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</si>
  <si>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</si>
  <si>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</si>
  <si>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</si>
  <si>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</si>
  <si>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</si>
  <si>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</si>
  <si>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</si>
  <si>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</si>
  <si>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</si>
  <si>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</si>
  <si>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</si>
  <si>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</si>
  <si>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</si>
  <si>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</si>
  <si>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</si>
  <si>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</si>
  <si>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</si>
  <si>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</si>
  <si>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</si>
  <si>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</si>
  <si>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</si>
  <si>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</si>
  <si>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</si>
  <si>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</si>
  <si>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</si>
  <si>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</si>
  <si>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</si>
  <si>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</si>
  <si>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</si>
  <si>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</si>
  <si>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</si>
  <si>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</si>
  <si>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</si>
  <si>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</si>
  <si>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</si>
  <si>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</si>
  <si>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</si>
  <si>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</si>
  <si>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</si>
  <si>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</si>
  <si>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</si>
  <si>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</si>
  <si>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</si>
  <si>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</si>
  <si>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</si>
  <si>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</si>
  <si>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</si>
  <si>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</si>
  <si>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</si>
  <si>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</si>
  <si>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</si>
  <si>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</si>
  <si>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</si>
  <si>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</si>
  <si>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</si>
  <si>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</si>
  <si>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</si>
  <si>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</si>
  <si>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</si>
  <si>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</si>
  <si>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</si>
  <si>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</si>
  <si>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</si>
  <si>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</si>
  <si>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</si>
  <si>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</si>
  <si>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</si>
  <si>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</si>
  <si>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</si>
  <si>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</si>
  <si>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</si>
  <si>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</si>
  <si>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</si>
  <si>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</si>
  <si>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</si>
  <si>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</si>
  <si>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</si>
  <si>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</si>
  <si>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</si>
  <si>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</si>
  <si>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</si>
  <si>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</si>
  <si>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</si>
  <si>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</si>
  <si>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</si>
  <si>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</si>
  <si>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</si>
  <si>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</si>
  <si>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</si>
  <si>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</si>
  <si>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</si>
  <si>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</si>
  <si>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</si>
  <si>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</si>
  <si>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</si>
  <si>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</si>
  <si>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</si>
  <si>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</si>
  <si>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</si>
  <si>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</si>
  <si>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</si>
  <si>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</si>
  <si>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</si>
  <si>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</si>
  <si>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</si>
  <si>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</si>
  <si>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</si>
  <si>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</si>
  <si>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</si>
  <si>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</si>
  <si>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</si>
  <si>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</si>
  <si>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</si>
  <si>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</si>
  <si>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</si>
  <si>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</si>
  <si>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</si>
  <si>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</si>
  <si>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</si>
  <si>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</si>
  <si>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</si>
  <si>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</si>
  <si>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</si>
  <si>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</si>
  <si>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</si>
  <si>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</si>
  <si>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</si>
  <si>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</si>
  <si>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</si>
  <si>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</si>
  <si>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</si>
  <si>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</si>
  <si>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</si>
  <si>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</si>
  <si>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</si>
  <si>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</si>
  <si>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</si>
  <si>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</si>
  <si>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</si>
  <si>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</si>
  <si>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</si>
  <si>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</si>
  <si>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</si>
  <si>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</si>
  <si>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</si>
  <si>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</si>
  <si>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</si>
  <si>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</si>
  <si>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</si>
  <si>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</si>
  <si>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</si>
  <si>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</si>
  <si>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</si>
  <si>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</si>
  <si>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</si>
  <si>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</si>
  <si>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</si>
  <si>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</si>
  <si>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</si>
  <si>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</si>
  <si>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</si>
  <si>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</si>
  <si>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</si>
  <si>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</si>
  <si>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</si>
  <si>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</si>
  <si>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</si>
  <si>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</si>
  <si>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</si>
  <si>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</si>
  <si>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</si>
  <si>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</si>
  <si>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</si>
  <si>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</si>
  <si>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</si>
  <si>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</si>
  <si>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</si>
  <si>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</si>
  <si>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</si>
  <si>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</si>
  <si>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</si>
  <si>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</si>
  <si>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</si>
  <si>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</si>
  <si>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</si>
  <si>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</si>
  <si>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</si>
  <si>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</si>
  <si>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</si>
  <si>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</si>
  <si>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</si>
  <si>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</si>
  <si>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</si>
  <si>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</si>
  <si>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</si>
  <si>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</si>
  <si>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</si>
  <si>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</si>
  <si>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</si>
  <si>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</si>
  <si>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</si>
  <si>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</si>
  <si>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</si>
  <si>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</si>
  <si>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</si>
  <si>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</si>
  <si>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</si>
  <si>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</si>
  <si>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</si>
  <si>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</si>
  <si>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</si>
  <si>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</si>
  <si>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</si>
  <si>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</si>
  <si>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</si>
  <si>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</si>
  <si>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</si>
  <si>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</si>
  <si>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</si>
  <si>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</si>
  <si>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</si>
  <si>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</si>
  <si>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</si>
  <si>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</si>
  <si>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</si>
  <si>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</si>
  <si>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</si>
  <si>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</si>
  <si>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</si>
  <si>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</si>
  <si>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</si>
  <si>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</si>
  <si>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</si>
  <si>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</si>
  <si>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</si>
  <si>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</si>
  <si>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</si>
  <si>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</si>
  <si>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</si>
  <si>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</si>
  <si>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</si>
  <si>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</si>
  <si>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</si>
  <si>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</si>
  <si>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</si>
  <si>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</si>
  <si>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</si>
  <si>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</si>
  <si>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</si>
  <si>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</si>
  <si>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</si>
  <si>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</si>
  <si>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</si>
  <si>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</si>
  <si>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</si>
  <si>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</si>
  <si>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</si>
  <si>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</si>
  <si>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</si>
  <si>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</si>
  <si>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</si>
  <si>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</si>
  <si>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</si>
  <si>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</si>
  <si>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</si>
  <si>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</si>
  <si>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</si>
  <si>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</si>
  <si>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</si>
  <si>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</si>
  <si>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</si>
  <si>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</si>
  <si>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</si>
  <si>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</si>
  <si>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</si>
  <si>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</si>
  <si>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</si>
  <si>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</si>
  <si>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</si>
  <si>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</si>
  <si>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</si>
  <si>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</si>
  <si>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</si>
  <si>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</si>
  <si>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</si>
  <si>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</si>
  <si>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</si>
  <si>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</si>
  <si>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</si>
  <si>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</si>
  <si>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</si>
  <si>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</si>
  <si>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</si>
  <si>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</si>
  <si>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</si>
  <si>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</si>
  <si>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</si>
  <si>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</si>
  <si>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</si>
  <si>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</si>
  <si>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</si>
  <si>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</si>
  <si>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</si>
  <si>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</si>
  <si>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</si>
  <si>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</si>
  <si>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</si>
  <si>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</si>
  <si>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</si>
  <si>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</si>
  <si>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</si>
  <si>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</si>
  <si>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</si>
  <si>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</si>
  <si>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</si>
  <si>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</si>
  <si>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</si>
  <si>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</si>
  <si>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</si>
  <si>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</si>
  <si>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</si>
  <si>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</si>
  <si>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</si>
  <si>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</si>
  <si>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</si>
  <si>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</si>
  <si>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</si>
  <si>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</si>
  <si>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</si>
  <si>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</si>
  <si>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</si>
  <si>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</si>
  <si>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</si>
  <si>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</si>
  <si>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</si>
  <si>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</si>
  <si>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</si>
  <si>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</si>
  <si>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</si>
  <si>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</si>
  <si>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</si>
  <si>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</si>
  <si>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</si>
  <si>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</si>
  <si>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</si>
  <si>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</si>
  <si>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</si>
  <si>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</si>
  <si>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</si>
  <si>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</si>
  <si>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</si>
  <si>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</si>
  <si>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</si>
  <si>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</si>
  <si>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</si>
  <si>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</si>
  <si>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</si>
  <si>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</si>
  <si>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</si>
  <si>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</si>
  <si>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</si>
  <si>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</si>
  <si>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</si>
  <si>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</si>
  <si>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</si>
  <si>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</si>
  <si>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</si>
  <si>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</si>
  <si>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</si>
  <si>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</si>
  <si>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</si>
  <si>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</si>
  <si>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</si>
  <si>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</si>
  <si>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</si>
  <si>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</si>
  <si>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</si>
  <si>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</si>
  <si>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</si>
  <si>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</si>
  <si>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</si>
  <si>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</si>
  <si>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</si>
  <si>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</si>
  <si>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</si>
  <si>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</si>
  <si>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</si>
  <si>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</si>
  <si>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</si>
  <si>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</si>
  <si>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</si>
  <si>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</si>
  <si>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</si>
  <si>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</si>
  <si>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</si>
  <si>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</si>
  <si>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</si>
  <si>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</si>
  <si>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</si>
  <si>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</si>
  <si>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</si>
  <si>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</si>
  <si>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</si>
  <si>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</si>
  <si>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</si>
  <si>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</si>
  <si>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</si>
  <si>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</si>
  <si>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</si>
  <si>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</si>
  <si>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</si>
  <si>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</si>
  <si>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</si>
  <si>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</si>
  <si>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</si>
  <si>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</si>
  <si>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</si>
  <si>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</si>
  <si>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</si>
  <si>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</si>
  <si>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</si>
  <si>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</si>
  <si>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</si>
  <si>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</si>
  <si>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</si>
  <si>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</si>
  <si>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</si>
  <si>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</si>
  <si>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</si>
  <si>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</si>
  <si>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</si>
  <si>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</si>
  <si>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</si>
  <si>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</si>
  <si>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</si>
  <si>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</si>
  <si>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</si>
  <si>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</si>
  <si>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</si>
  <si>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</si>
  <si>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</si>
  <si>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</si>
  <si>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</si>
  <si>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</si>
  <si>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</si>
  <si>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</si>
  <si>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</si>
  <si>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</si>
  <si>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</si>
  <si>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</si>
  <si>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</si>
  <si>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</si>
  <si>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</si>
  <si>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</si>
  <si>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</si>
  <si>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</si>
  <si>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</si>
  <si>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</si>
  <si>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</si>
  <si>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</si>
  <si>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</si>
  <si>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</si>
  <si>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</si>
  <si>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</si>
  <si>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</si>
  <si>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</si>
  <si>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</si>
  <si>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</si>
  <si>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</si>
  <si>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</si>
  <si>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</si>
  <si>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</si>
  <si>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</si>
  <si>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</si>
  <si>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</si>
  <si>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</si>
  <si>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</si>
  <si>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</si>
  <si>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</si>
  <si>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</si>
  <si>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</si>
  <si>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</si>
  <si>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</si>
  <si>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</si>
  <si>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</si>
  <si>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</si>
  <si>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</si>
  <si>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</si>
  <si>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</si>
  <si>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</si>
  <si>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</si>
  <si>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</si>
  <si>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</si>
  <si>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</si>
  <si>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</si>
  <si>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</si>
  <si>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</si>
  <si>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</si>
  <si>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</si>
  <si>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</si>
  <si>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</si>
  <si>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</si>
  <si>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</si>
  <si>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</si>
  <si>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</si>
  <si>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</si>
  <si>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</si>
  <si>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</si>
  <si>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</si>
  <si>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</si>
  <si>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</si>
  <si>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</si>
  <si>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</si>
  <si>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</si>
  <si>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</si>
  <si>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</si>
  <si>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</si>
  <si>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</si>
  <si>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</si>
  <si>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</si>
  <si>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</si>
  <si>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</si>
  <si>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</si>
  <si>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</si>
  <si>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</si>
  <si>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</si>
  <si>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</si>
  <si>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</si>
  <si>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</si>
  <si>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</si>
  <si>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</si>
  <si>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</si>
  <si>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</si>
  <si>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</si>
  <si>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</si>
  <si>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</si>
  <si>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</si>
  <si>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</si>
  <si>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</si>
  <si>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</si>
  <si>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</si>
  <si>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</si>
  <si>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</si>
  <si>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</si>
  <si>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</si>
  <si>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</si>
  <si>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</si>
  <si>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</si>
  <si>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</si>
  <si>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</si>
  <si>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</si>
  <si>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</si>
  <si>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</si>
  <si>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</si>
  <si>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</si>
  <si>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</si>
  <si>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</si>
  <si>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</si>
  <si>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</si>
  <si>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</si>
  <si>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</si>
  <si>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</si>
  <si>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</si>
  <si>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</si>
  <si>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</si>
  <si>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</si>
  <si>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</si>
  <si>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</si>
  <si>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</si>
  <si>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</si>
  <si>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</si>
  <si>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</si>
  <si>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</si>
  <si>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</si>
  <si>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</si>
  <si>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</si>
  <si>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</si>
  <si>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</si>
  <si>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</si>
  <si>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</si>
  <si>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</si>
  <si>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</si>
  <si>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</si>
  <si>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</si>
  <si>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</si>
  <si>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</si>
  <si>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</si>
  <si>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</si>
  <si>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</si>
  <si>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</si>
  <si>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</si>
  <si>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</si>
  <si>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</si>
  <si>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</si>
  <si>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</si>
  <si>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</si>
  <si>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</si>
  <si>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</si>
  <si>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</si>
  <si>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</si>
  <si>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</si>
  <si>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</si>
  <si>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</si>
  <si>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</si>
  <si>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</si>
  <si>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</si>
  <si>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</si>
  <si>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</si>
  <si>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</si>
  <si>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</si>
  <si>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</si>
  <si>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</si>
  <si>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</si>
  <si>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</si>
  <si>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</si>
  <si>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</si>
  <si>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</si>
  <si>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</si>
  <si>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</si>
  <si>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</si>
  <si>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</si>
  <si>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</si>
  <si>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</si>
  <si>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</si>
  <si>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</si>
  <si>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</si>
  <si>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</si>
  <si>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</si>
  <si>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</si>
  <si>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</si>
  <si>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</si>
  <si>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</si>
  <si>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</si>
  <si>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</si>
  <si>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</si>
  <si>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</si>
  <si>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</si>
  <si>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</si>
  <si>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</si>
  <si>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</si>
  <si>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</si>
  <si>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</si>
  <si>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</si>
  <si>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</si>
  <si>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</si>
  <si>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</si>
  <si>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</si>
  <si>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</si>
  <si>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</si>
  <si>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</si>
  <si>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</si>
  <si>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</si>
  <si>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</si>
  <si>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</si>
  <si>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</si>
  <si>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</si>
  <si>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</si>
  <si>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</si>
  <si>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</si>
  <si>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</si>
  <si>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</si>
  <si>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</si>
  <si>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</si>
  <si>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</si>
  <si>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</si>
  <si>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</si>
  <si>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</si>
  <si>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</si>
  <si>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</si>
  <si>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</si>
  <si>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</si>
  <si>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</si>
  <si>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</si>
  <si>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</si>
  <si>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</si>
  <si>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</si>
  <si>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</si>
  <si>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</si>
  <si>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</si>
  <si>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</si>
  <si>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</si>
  <si>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</si>
  <si>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</si>
  <si>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</si>
  <si>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</si>
  <si>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</si>
  <si>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</si>
  <si>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</si>
  <si>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</si>
  <si>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</si>
  <si>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</si>
  <si>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</si>
  <si>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</si>
  <si>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</si>
  <si>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</si>
  <si>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</si>
  <si>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</si>
  <si>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</si>
  <si>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</si>
  <si>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</si>
  <si>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</si>
  <si>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</si>
  <si>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</si>
  <si>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</si>
  <si>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</si>
  <si>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</si>
  <si>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</si>
  <si>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</si>
  <si>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</si>
  <si>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</si>
  <si>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</si>
  <si>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</si>
  <si>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</si>
  <si>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</si>
  <si>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</si>
  <si>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</si>
  <si>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</si>
  <si>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</si>
  <si>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</si>
  <si>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</si>
  <si>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</si>
  <si>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</si>
  <si>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</si>
  <si>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</si>
  <si>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</si>
  <si>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</si>
  <si>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</si>
  <si>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</si>
  <si>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</si>
  <si>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</si>
  <si>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</si>
  <si>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</si>
  <si>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</si>
  <si>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</si>
  <si>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</si>
  <si>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</si>
  <si>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</si>
  <si>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</si>
  <si>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</si>
  <si>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</si>
  <si>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</si>
  <si>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</si>
  <si>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</si>
  <si>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</si>
  <si>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</si>
  <si>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</si>
  <si>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</si>
  <si>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</si>
  <si>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</si>
  <si>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</si>
  <si>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</si>
  <si>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</si>
  <si>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</si>
  <si>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</si>
  <si>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</si>
  <si>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</si>
  <si>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</si>
  <si>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</si>
  <si>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</si>
  <si>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</si>
  <si>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</si>
  <si>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</si>
  <si>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</si>
  <si>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</si>
  <si>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</si>
  <si>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</si>
  <si>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</si>
  <si>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</si>
  <si>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</si>
  <si>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</si>
  <si>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</si>
  <si>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</si>
  <si>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</si>
  <si>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</si>
  <si>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</si>
  <si>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</si>
  <si>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</si>
  <si>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</si>
  <si>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</si>
  <si>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</si>
  <si>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</si>
  <si>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</si>
  <si>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</si>
  <si>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</si>
  <si>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</si>
  <si>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</si>
  <si>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</si>
  <si>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</si>
  <si>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</si>
  <si>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</si>
  <si>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</si>
  <si>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</si>
  <si>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</si>
  <si>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</si>
  <si>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</si>
  <si>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</si>
  <si>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</si>
  <si>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</si>
  <si>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</si>
  <si>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</si>
  <si>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</si>
  <si>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</si>
  <si>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</si>
  <si>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</si>
  <si>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</si>
  <si>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</si>
  <si>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</si>
  <si>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</si>
  <si>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</si>
  <si>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</si>
  <si>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</si>
  <si>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</si>
  <si>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</si>
  <si>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</si>
  <si>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</si>
  <si>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</si>
  <si>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</si>
  <si>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</si>
  <si>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</si>
  <si>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</si>
  <si>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</si>
  <si>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</si>
  <si>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</si>
  <si>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</si>
  <si>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</si>
  <si>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</si>
  <si>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</si>
  <si>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</si>
  <si>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</si>
  <si>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</si>
  <si>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</si>
  <si>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</si>
  <si>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</si>
  <si>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</si>
  <si>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</si>
  <si>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</si>
  <si>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</si>
  <si>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</si>
  <si>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</si>
  <si>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</si>
  <si>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</si>
  <si>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</si>
  <si>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</si>
  <si>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</si>
  <si>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</si>
  <si>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</si>
  <si>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</si>
  <si>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</si>
  <si>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</si>
  <si>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</si>
  <si>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</si>
  <si>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</si>
  <si>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</si>
  <si>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</si>
  <si>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</si>
  <si>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</si>
  <si>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</si>
  <si>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</si>
  <si>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</si>
  <si>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</si>
  <si>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</si>
  <si>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</si>
  <si>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</si>
  <si>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</si>
  <si>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</si>
  <si>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</si>
  <si>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</si>
  <si>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</si>
  <si>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</si>
  <si>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</si>
  <si>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</si>
  <si>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</si>
  <si>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</si>
  <si>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</si>
  <si>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</si>
  <si>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</si>
  <si>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</si>
  <si>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</si>
  <si>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</si>
  <si>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</si>
  <si>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</si>
  <si>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</si>
  <si>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</si>
  <si>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</si>
  <si>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</si>
  <si>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</si>
  <si>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</si>
  <si>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</si>
  <si>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</si>
  <si>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</si>
  <si>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</si>
  <si>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</si>
  <si>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</si>
  <si>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</si>
  <si>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</si>
  <si>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</si>
  <si>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</si>
  <si>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</si>
  <si>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</si>
  <si>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</si>
  <si>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</si>
  <si>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</si>
  <si>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</si>
  <si>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</si>
  <si>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</si>
  <si>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</si>
  <si>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</si>
  <si>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</si>
  <si>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</si>
  <si>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</si>
  <si>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</si>
  <si>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</si>
  <si>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</si>
  <si>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</si>
  <si>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</si>
  <si>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</si>
  <si>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</si>
  <si>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</si>
  <si>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</si>
  <si>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</si>
  <si>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</si>
  <si>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</si>
  <si>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</si>
  <si>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</si>
  <si>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</si>
  <si>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</si>
  <si>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</si>
  <si>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</si>
  <si>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</si>
  <si>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</si>
  <si>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</si>
  <si>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</si>
  <si>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</si>
  <si>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</si>
  <si>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</si>
  <si>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</si>
  <si>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</si>
  <si>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</si>
  <si>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</si>
  <si>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</si>
  <si>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</si>
  <si>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</si>
  <si>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</si>
  <si>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</si>
  <si>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</si>
  <si>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</si>
  <si>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</si>
  <si>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</si>
  <si>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</si>
  <si>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</si>
  <si>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</si>
  <si>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</si>
  <si>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</si>
  <si>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</si>
  <si>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</si>
  <si>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</si>
  <si>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</si>
  <si>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</si>
  <si>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</si>
  <si>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</si>
  <si>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</si>
  <si>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</si>
  <si>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</si>
  <si>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</si>
  <si>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</si>
  <si>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</si>
  <si>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</si>
  <si>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</si>
  <si>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</si>
  <si>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</si>
  <si>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</si>
  <si>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</si>
  <si>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</si>
  <si>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</si>
  <si>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</si>
  <si>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</si>
  <si>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</si>
  <si>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</si>
  <si>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</si>
  <si>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</si>
  <si>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</si>
  <si>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</si>
  <si>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</si>
  <si>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</si>
  <si>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</si>
  <si>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</si>
  <si>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</si>
  <si>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</si>
  <si>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</si>
  <si>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</si>
  <si>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</si>
  <si>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</si>
  <si>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</si>
  <si>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</si>
  <si>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</si>
  <si>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</si>
  <si>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</si>
  <si>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</si>
  <si>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</si>
  <si>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</si>
  <si>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</si>
  <si>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</si>
  <si>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</si>
  <si>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</si>
  <si>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</si>
  <si>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</si>
  <si>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</si>
  <si>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</si>
  <si>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</si>
  <si>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</si>
  <si>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</si>
  <si>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</si>
  <si>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</si>
  <si>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</si>
  <si>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</si>
  <si>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</si>
  <si>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</si>
  <si>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</si>
  <si>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</si>
  <si>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</si>
  <si>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</si>
  <si>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</si>
  <si>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</si>
  <si>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</si>
  <si>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</si>
  <si>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</si>
  <si>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</si>
  <si>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</si>
  <si>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</si>
  <si>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</si>
  <si>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</si>
  <si>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</si>
  <si>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</si>
  <si>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</si>
  <si>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</si>
  <si>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</si>
  <si>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</si>
  <si>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</si>
  <si>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</si>
  <si>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</si>
  <si>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</si>
  <si>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</si>
  <si>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</si>
  <si>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</si>
  <si>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</si>
  <si>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</si>
  <si>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</si>
  <si>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</si>
  <si>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</si>
  <si>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</si>
  <si>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</si>
  <si>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</si>
  <si>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</si>
  <si>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</si>
  <si>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</si>
  <si>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</si>
  <si>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</si>
  <si>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</si>
  <si>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</si>
  <si>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</si>
  <si>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</si>
  <si>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</si>
  <si>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</si>
  <si>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</si>
  <si>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</si>
  <si>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</si>
  <si>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</si>
  <si>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</si>
  <si>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</si>
  <si>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</si>
  <si>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</si>
  <si>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</si>
  <si>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</si>
  <si>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</si>
  <si>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</si>
  <si>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</si>
  <si>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</si>
  <si>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</si>
  <si>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</si>
  <si>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</si>
  <si>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</si>
  <si>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</si>
  <si>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</si>
  <si>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</si>
  <si>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</si>
  <si>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</si>
  <si>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</si>
  <si>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</si>
  <si>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</si>
  <si>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</si>
  <si>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</si>
  <si>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</si>
  <si>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</si>
  <si>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</si>
  <si>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</si>
  <si>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</si>
  <si>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</si>
  <si>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</si>
  <si>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</si>
  <si>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</si>
  <si>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</si>
  <si>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</si>
  <si>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</si>
  <si>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</si>
  <si>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</si>
  <si>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</si>
  <si>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</si>
  <si>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</si>
  <si>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</si>
  <si>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</si>
  <si>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</si>
  <si>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</si>
  <si>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</si>
  <si>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</si>
  <si>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</si>
  <si>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</si>
  <si>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</si>
  <si>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</si>
  <si>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</si>
  <si>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</si>
  <si>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</si>
  <si>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</si>
  <si>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</si>
  <si>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</si>
  <si>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</si>
  <si>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</si>
  <si>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</si>
  <si>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</si>
  <si>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</si>
  <si>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</si>
  <si>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</si>
  <si>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</si>
  <si>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</si>
  <si>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</si>
  <si>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</si>
  <si>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</si>
  <si>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</si>
  <si>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</si>
  <si>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</si>
  <si>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</si>
  <si>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</si>
  <si>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</si>
  <si>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</si>
  <si>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</si>
  <si>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</si>
  <si>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</si>
  <si>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</si>
  <si>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</si>
  <si>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</si>
  <si>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</si>
  <si>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</si>
  <si>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</si>
  <si>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</si>
  <si>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</si>
  <si>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</si>
  <si>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</si>
  <si>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</si>
  <si>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</si>
  <si>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</si>
  <si>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</si>
  <si>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</si>
  <si>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</si>
  <si>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</si>
  <si>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</si>
  <si>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</si>
  <si>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</si>
  <si>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</si>
  <si>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</si>
  <si>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</si>
  <si>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</si>
  <si>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</si>
  <si>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</si>
  <si>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</si>
  <si>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</si>
  <si>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</si>
  <si>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</si>
  <si>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</si>
  <si>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</si>
  <si>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</si>
  <si>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</si>
  <si>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</si>
  <si>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</si>
  <si>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</si>
  <si>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</si>
  <si>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</si>
  <si>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</si>
  <si>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</si>
  <si>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</si>
  <si>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</si>
  <si>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</si>
  <si>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</si>
  <si>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</si>
  <si>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</si>
  <si>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</si>
  <si>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</si>
  <si>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</si>
  <si>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</si>
  <si>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</si>
  <si>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</si>
  <si>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</si>
  <si>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</si>
  <si>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</si>
  <si>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</si>
  <si>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</si>
  <si>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</si>
  <si>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</si>
  <si>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</si>
  <si>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</si>
  <si>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</si>
  <si>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</si>
  <si>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</si>
  <si>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</si>
  <si>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</si>
  <si>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</si>
  <si>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</si>
  <si>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</si>
  <si>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</si>
  <si>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</si>
  <si>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</si>
  <si>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</si>
  <si>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</si>
  <si>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</si>
  <si>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</si>
  <si>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</si>
  <si>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</si>
  <si>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</si>
  <si>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</si>
  <si>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</si>
  <si>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</si>
  <si>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</si>
  <si>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</si>
  <si>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</si>
  <si>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</si>
  <si>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</si>
  <si>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</si>
  <si>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</si>
  <si>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</si>
  <si>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</si>
  <si>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</si>
  <si>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</si>
  <si>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</si>
  <si>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</si>
  <si>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</si>
  <si>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</si>
  <si>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</si>
  <si>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</si>
  <si>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</si>
  <si>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</si>
  <si>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</si>
  <si>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</si>
  <si>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</si>
  <si>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</si>
  <si>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</si>
  <si>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</si>
  <si>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</si>
  <si>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</si>
  <si>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</si>
  <si>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</si>
  <si>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</si>
  <si>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</si>
  <si>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</si>
  <si>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</si>
  <si>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</si>
  <si>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</si>
  <si>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</si>
  <si>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</si>
  <si>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</si>
  <si>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</si>
  <si>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</si>
  <si>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</si>
  <si>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</si>
  <si>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</si>
  <si>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</si>
  <si>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</si>
  <si>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</si>
  <si>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</si>
  <si>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</si>
  <si>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</si>
  <si>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</si>
  <si>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</si>
  <si>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</si>
  <si>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</si>
  <si>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</si>
  <si>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</si>
  <si>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</si>
  <si>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</si>
  <si>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</si>
  <si>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</si>
  <si>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</si>
  <si>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</si>
  <si>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</si>
  <si>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</si>
  <si>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</si>
  <si>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</si>
  <si>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</si>
  <si>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</si>
  <si>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</si>
  <si>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</si>
  <si>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</si>
  <si>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</si>
  <si>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</si>
  <si>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</si>
  <si>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</si>
  <si>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</si>
  <si>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</si>
  <si>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</si>
  <si>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</si>
  <si>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</si>
  <si>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</si>
  <si>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</si>
  <si>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</si>
  <si>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</si>
  <si>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</si>
  <si>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</si>
  <si>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</si>
  <si>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</si>
  <si>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</si>
  <si>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</si>
  <si>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</si>
  <si>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</si>
  <si>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</si>
  <si>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</si>
  <si>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</si>
  <si>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</si>
  <si>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</si>
  <si>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</si>
  <si>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</si>
  <si>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</si>
  <si>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</si>
  <si>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</si>
  <si>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</si>
  <si>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</si>
  <si>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</si>
  <si>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</si>
  <si>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</si>
  <si>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</si>
  <si>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</si>
  <si>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</si>
  <si>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</si>
  <si>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</si>
  <si>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</si>
  <si>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</si>
  <si>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</si>
  <si>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</si>
  <si>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</si>
  <si>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</si>
  <si>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</si>
  <si>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</si>
  <si>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</si>
  <si>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</si>
  <si>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</si>
  <si>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</si>
  <si>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</si>
  <si>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</si>
  <si>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</si>
  <si>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</si>
  <si>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</si>
  <si>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</si>
  <si>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</si>
  <si>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</si>
  <si>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</si>
  <si>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</si>
  <si>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</si>
  <si>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</si>
  <si>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</si>
  <si>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</si>
  <si>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</si>
  <si>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</si>
  <si>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</si>
  <si>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</si>
  <si>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</si>
  <si>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</si>
  <si>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</si>
  <si>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</si>
  <si>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</si>
  <si>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</si>
  <si>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</si>
  <si>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</si>
  <si>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</si>
  <si>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</si>
  <si>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</si>
  <si>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</si>
  <si>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</si>
  <si>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</si>
  <si>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</si>
  <si>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</si>
  <si>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</si>
  <si>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</si>
  <si>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</si>
  <si>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</si>
  <si>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</si>
  <si>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</si>
  <si>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</si>
  <si>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</si>
  <si>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</si>
  <si>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</si>
  <si>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</si>
  <si>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</si>
  <si>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</si>
  <si>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</si>
  <si>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</si>
  <si>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</si>
  <si>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</si>
  <si>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</si>
  <si>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</si>
  <si>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</si>
  <si>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</si>
  <si>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</si>
  <si>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</si>
  <si>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</si>
  <si>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</si>
  <si>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</si>
  <si>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</si>
  <si>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</si>
  <si>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</si>
  <si>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</si>
  <si>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</si>
  <si>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</si>
  <si>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</si>
  <si>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</si>
  <si>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</si>
  <si>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</si>
  <si>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</si>
  <si>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</si>
  <si>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</si>
  <si>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</si>
  <si>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</si>
  <si>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</si>
  <si>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</si>
  <si>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</si>
  <si>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</si>
  <si>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</si>
  <si>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</si>
  <si>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</si>
  <si>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</si>
  <si>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</si>
  <si>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</si>
  <si>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</si>
  <si>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</si>
  <si>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</si>
  <si>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</si>
  <si>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</si>
  <si>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</si>
  <si>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</si>
  <si>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</si>
  <si>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</si>
  <si>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</si>
  <si>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</si>
  <si>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</si>
  <si>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</si>
  <si>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</si>
  <si>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</si>
  <si>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</si>
  <si>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</si>
  <si>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</si>
  <si>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</si>
  <si>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</si>
  <si>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</si>
  <si>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</si>
  <si>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</si>
  <si>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</si>
  <si>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</si>
  <si>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</si>
  <si>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</si>
  <si>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</si>
  <si>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</si>
  <si>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</si>
  <si>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</si>
  <si>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</si>
  <si>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</si>
  <si>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</si>
  <si>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</si>
  <si>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</si>
  <si>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</si>
  <si>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</si>
  <si>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</si>
  <si>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</si>
  <si>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</si>
  <si>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</si>
  <si>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</si>
  <si>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</si>
  <si>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</si>
  <si>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</si>
  <si>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</si>
  <si>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</si>
  <si>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</si>
  <si>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</si>
  <si>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</si>
  <si>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</si>
  <si>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</si>
  <si>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</si>
  <si>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</si>
  <si>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</si>
  <si>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</si>
  <si>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</si>
  <si>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</si>
  <si>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</si>
  <si>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</si>
  <si>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</si>
  <si>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</si>
  <si>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</si>
  <si>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</si>
  <si>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</si>
  <si>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</si>
  <si>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</si>
  <si>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</si>
  <si>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</si>
  <si>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</si>
  <si>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</si>
  <si>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</si>
  <si>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</si>
  <si>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</si>
  <si>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</si>
  <si>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</si>
  <si>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</si>
  <si>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</si>
  <si>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</si>
  <si>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</si>
  <si>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</si>
  <si>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</si>
  <si>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</si>
  <si>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</si>
  <si>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</si>
  <si>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</si>
  <si>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</si>
  <si>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</si>
  <si>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</si>
  <si>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</si>
  <si>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</si>
  <si>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</si>
  <si>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</si>
  <si>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</si>
  <si>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</si>
  <si>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</si>
  <si>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</si>
  <si>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</si>
  <si>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</si>
  <si>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</si>
  <si>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</si>
  <si>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</si>
  <si>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</si>
  <si>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</si>
  <si>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</si>
  <si>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</si>
  <si>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</si>
  <si>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</si>
  <si>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</si>
  <si>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</si>
  <si>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</si>
  <si>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</si>
  <si>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</si>
  <si>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</si>
  <si>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</si>
  <si>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</si>
  <si>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</si>
  <si>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</si>
  <si>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</si>
  <si>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</si>
  <si>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</si>
  <si>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</si>
  <si>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</si>
  <si>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</si>
  <si>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</si>
  <si>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</si>
  <si>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</si>
  <si>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</si>
  <si>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</si>
  <si>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</si>
  <si>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</si>
  <si>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</si>
  <si>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</si>
  <si>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</si>
  <si>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</si>
  <si>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</si>
  <si>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</si>
  <si>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</si>
  <si>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</si>
  <si>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</si>
  <si>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</si>
  <si>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</si>
  <si>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</si>
  <si>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</si>
  <si>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</si>
  <si>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</si>
  <si>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</si>
  <si>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</si>
  <si>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</si>
  <si>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</si>
  <si>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</si>
  <si>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</si>
  <si>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</si>
  <si>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</si>
  <si>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</si>
  <si>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</si>
  <si>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</si>
  <si>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</si>
  <si>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</si>
  <si>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</si>
  <si>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</si>
  <si>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</si>
  <si>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</si>
  <si>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</si>
  <si>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</si>
  <si>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</si>
  <si>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</si>
  <si>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</si>
  <si>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</si>
  <si>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</si>
  <si>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</si>
  <si>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</si>
  <si>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</si>
  <si>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</si>
  <si>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</si>
  <si>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</si>
  <si>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</si>
  <si>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</si>
  <si>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</si>
  <si>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</si>
  <si>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</si>
  <si>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</si>
  <si>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</si>
  <si>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</si>
  <si>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</si>
  <si>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</si>
  <si>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</si>
  <si>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</si>
  <si>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</si>
  <si>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</si>
  <si>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</si>
  <si>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</si>
  <si>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</si>
  <si>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</si>
  <si>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</si>
  <si>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</si>
  <si>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</si>
  <si>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</si>
  <si>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</si>
  <si>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</si>
  <si>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</si>
  <si>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</si>
  <si>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</si>
  <si>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</si>
  <si>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</si>
  <si>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</si>
  <si>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</si>
  <si>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</si>
  <si>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</si>
  <si>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</si>
  <si>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</si>
  <si>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</si>
  <si>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</si>
  <si>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</si>
  <si>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</si>
  <si>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</si>
  <si>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</si>
  <si>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</si>
  <si>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</si>
  <si>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</si>
  <si>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</si>
  <si>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</si>
  <si>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</si>
  <si>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</si>
  <si>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</si>
  <si>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</si>
  <si>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</si>
  <si>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</si>
  <si>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</si>
  <si>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</si>
  <si>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</si>
  <si>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</si>
  <si>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</si>
  <si>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</si>
  <si>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</si>
  <si>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</si>
  <si>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</si>
  <si>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</si>
  <si>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</si>
  <si>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</si>
  <si>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</si>
  <si>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</si>
  <si>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</si>
  <si>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</si>
  <si>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</si>
  <si>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</si>
  <si>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</si>
  <si>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</si>
  <si>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</si>
  <si>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</si>
  <si>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</si>
  <si>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</si>
  <si>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</si>
  <si>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</si>
  <si>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</si>
  <si>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</si>
  <si>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</si>
  <si>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</si>
  <si>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</si>
  <si>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</si>
  <si>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</si>
  <si>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</si>
  <si>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</si>
  <si>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</si>
  <si>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</si>
  <si>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</si>
  <si>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</si>
  <si>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</si>
  <si>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</si>
  <si>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</si>
  <si>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</si>
  <si>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</si>
  <si>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</si>
  <si>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</si>
  <si>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</si>
  <si>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</si>
  <si>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</si>
  <si>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</si>
  <si>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</si>
  <si>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</si>
  <si>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</si>
  <si>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</si>
  <si>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</si>
  <si>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</si>
  <si>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</si>
  <si>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</si>
  <si>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</si>
  <si>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</si>
  <si>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</si>
  <si>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</si>
  <si>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</si>
  <si>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</si>
  <si>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</si>
  <si>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</si>
  <si>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</si>
  <si>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</si>
  <si>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</si>
  <si>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</si>
  <si>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</si>
  <si>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</si>
  <si>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</si>
  <si>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</si>
  <si>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</si>
  <si>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</si>
  <si>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</si>
  <si>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</si>
  <si>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</si>
  <si>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</si>
  <si>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</si>
  <si>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</si>
  <si>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</si>
  <si>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</si>
  <si>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</si>
  <si>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</si>
  <si>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</si>
  <si>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</si>
  <si>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</si>
  <si>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</si>
  <si>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</si>
  <si>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</si>
  <si>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</si>
  <si>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</si>
  <si>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</si>
  <si>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</si>
  <si>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</si>
  <si>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</si>
  <si>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</si>
  <si>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</si>
  <si>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</si>
  <si>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</si>
  <si>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</si>
  <si>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</si>
  <si>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</si>
  <si>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</si>
  <si>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</si>
  <si>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</si>
  <si>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</si>
  <si>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</si>
  <si>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</si>
  <si>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</si>
  <si>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</si>
  <si>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</si>
  <si>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</si>
  <si>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</si>
  <si>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</si>
  <si>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</si>
  <si>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</si>
  <si>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</si>
  <si>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</si>
  <si>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</si>
  <si>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</si>
  <si>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</si>
  <si>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</si>
  <si>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</si>
  <si>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</si>
  <si>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</si>
  <si>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</si>
  <si>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</si>
  <si>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</si>
  <si>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</si>
  <si>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</si>
  <si>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</si>
  <si>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</si>
  <si>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</si>
  <si>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</si>
  <si>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</si>
  <si>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</si>
  <si>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</si>
  <si>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</si>
  <si>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</si>
  <si>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</si>
  <si>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</si>
  <si>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</si>
  <si>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</si>
  <si>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</si>
  <si>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</si>
  <si>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</si>
  <si>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</si>
  <si>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</si>
  <si>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</si>
  <si>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</si>
  <si>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</si>
  <si>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</si>
  <si>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</si>
  <si>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</si>
  <si>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</si>
  <si>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</si>
  <si>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</si>
  <si>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</si>
  <si>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</si>
  <si>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</si>
  <si>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</si>
  <si>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</si>
  <si>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</si>
  <si>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</si>
  <si>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</si>
  <si>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</si>
  <si>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</si>
  <si>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</si>
  <si>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</si>
  <si>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</si>
  <si>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</si>
  <si>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</si>
  <si>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</si>
  <si>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</si>
  <si>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</si>
  <si>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</si>
  <si>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</si>
  <si>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</si>
  <si>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</si>
  <si>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</si>
  <si>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</si>
  <si>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</si>
  <si>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</si>
  <si>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</si>
  <si>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</si>
  <si>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</si>
  <si>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</si>
  <si>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</si>
  <si>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</si>
  <si>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</si>
  <si>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</si>
  <si>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</si>
  <si>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</si>
  <si>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</si>
  <si>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</si>
  <si>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</si>
  <si>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</si>
  <si>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</si>
  <si>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</si>
  <si>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</si>
  <si>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</si>
  <si>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</si>
  <si>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</si>
  <si>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</si>
  <si>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</si>
  <si>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</si>
  <si>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</si>
  <si>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</si>
  <si>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</si>
  <si>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</si>
  <si>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</si>
  <si>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</si>
  <si>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</si>
  <si>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</si>
  <si>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</si>
  <si>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</si>
  <si>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</si>
  <si>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</si>
  <si>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</si>
  <si>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</si>
  <si>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</si>
  <si>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</si>
  <si>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</si>
  <si>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</si>
  <si>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</si>
  <si>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</si>
  <si>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</si>
  <si>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</si>
  <si>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</si>
  <si>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</si>
  <si>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</si>
  <si>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</si>
  <si>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</si>
  <si>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</si>
  <si>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</si>
  <si>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</si>
  <si>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</si>
  <si>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</si>
  <si>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</si>
  <si>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</si>
  <si>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</si>
  <si>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</si>
  <si>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</si>
  <si>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</si>
  <si>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</si>
  <si>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</si>
  <si>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</si>
  <si>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</si>
  <si>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</si>
  <si>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</si>
  <si>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</si>
  <si>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</si>
  <si>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</si>
  <si>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</si>
  <si>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</si>
  <si>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</si>
  <si>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</si>
  <si>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</si>
  <si>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</si>
  <si>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</si>
  <si>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</si>
  <si>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</si>
  <si>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</si>
  <si>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</si>
  <si>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</si>
  <si>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</si>
  <si>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</si>
  <si>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</si>
  <si>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</si>
  <si>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</si>
  <si>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</si>
  <si>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</si>
  <si>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</si>
  <si>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</si>
  <si>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</si>
  <si>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</si>
  <si>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</si>
  <si>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</si>
  <si>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</si>
  <si>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</si>
  <si>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</si>
  <si>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</si>
  <si>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</si>
  <si>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</si>
  <si>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</si>
  <si>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</si>
  <si>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</si>
  <si>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</si>
  <si>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</si>
  <si>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</si>
  <si>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</si>
  <si>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</si>
  <si>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</si>
  <si>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</si>
  <si>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</si>
  <si>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</si>
  <si>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</si>
  <si>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</si>
  <si>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</si>
  <si>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</si>
  <si>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</si>
  <si>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</si>
  <si>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</si>
  <si>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</si>
  <si>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</si>
  <si>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</si>
  <si>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</si>
  <si>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</si>
  <si>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</si>
  <si>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</si>
  <si>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</si>
  <si>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</si>
  <si>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</si>
  <si>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</si>
  <si>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</si>
  <si>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</si>
  <si>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</si>
  <si>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</si>
  <si>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</si>
  <si>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</si>
  <si>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</si>
  <si>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</si>
  <si>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</si>
  <si>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</si>
  <si>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</si>
  <si>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</si>
  <si>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</si>
  <si>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</si>
  <si>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</si>
  <si>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</si>
  <si>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</si>
  <si>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</si>
  <si>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</si>
  <si>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</si>
  <si>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</si>
  <si>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</si>
  <si>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</si>
  <si>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</si>
  <si>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</si>
  <si>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</si>
  <si>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</si>
  <si>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</si>
  <si>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</si>
  <si>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</si>
  <si>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</si>
  <si>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</si>
  <si>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</si>
  <si>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</si>
  <si>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</si>
  <si>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</si>
  <si>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</si>
  <si>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</si>
  <si>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</si>
  <si>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</si>
  <si>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</si>
  <si>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</si>
  <si>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</si>
  <si>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</si>
  <si>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</si>
  <si>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</si>
  <si>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</si>
  <si>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</si>
  <si>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</si>
  <si>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</si>
  <si>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</si>
  <si>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</si>
  <si>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</si>
  <si>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</si>
  <si>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</si>
  <si>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</si>
  <si>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</si>
  <si>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</si>
  <si>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</si>
  <si>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</si>
  <si>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</si>
  <si>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</si>
  <si>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</si>
  <si>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</si>
  <si>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</si>
  <si>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</si>
  <si>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</si>
  <si>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</si>
  <si>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</si>
  <si>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</si>
  <si>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</si>
  <si>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</si>
  <si>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</si>
  <si>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</si>
  <si>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</si>
  <si>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</si>
  <si>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</si>
  <si>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</si>
  <si>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</si>
  <si>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</si>
  <si>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</si>
  <si>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</si>
  <si>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</si>
  <si>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</si>
  <si>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</si>
  <si>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</si>
  <si>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</si>
  <si>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</si>
  <si>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</si>
  <si>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</si>
  <si>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</si>
  <si>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</si>
  <si>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</si>
  <si>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</si>
  <si>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</si>
  <si>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</si>
  <si>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</si>
  <si>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</si>
  <si>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</si>
  <si>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</si>
  <si>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</si>
  <si>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</si>
  <si>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</si>
  <si>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</si>
  <si>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</si>
  <si>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</si>
  <si>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</si>
  <si>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</si>
  <si>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</si>
  <si>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</si>
  <si>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</si>
  <si>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</si>
  <si>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</si>
  <si>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</si>
  <si>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</si>
  <si>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</si>
  <si>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</si>
  <si>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</si>
  <si>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</si>
  <si>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</si>
  <si>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</si>
  <si>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</si>
  <si>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</si>
  <si>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</si>
  <si>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</si>
  <si>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</si>
  <si>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</si>
  <si>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</si>
  <si>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</si>
  <si>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</si>
  <si>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</si>
  <si>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</si>
  <si>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</si>
  <si>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</si>
  <si>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</si>
  <si>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</si>
  <si>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</si>
  <si>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</si>
  <si>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</si>
  <si>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</si>
  <si>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</si>
  <si>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</si>
  <si>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</si>
  <si>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</si>
  <si>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</si>
  <si>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</si>
  <si>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</si>
  <si>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</si>
  <si>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</si>
  <si>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</si>
  <si>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</si>
  <si>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</si>
  <si>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</si>
  <si>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</si>
  <si>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</si>
  <si>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</si>
  <si>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</si>
  <si>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</si>
  <si>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</si>
  <si>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</si>
  <si>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</si>
  <si>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</si>
  <si>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</si>
  <si>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</si>
  <si>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</si>
  <si>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</si>
  <si>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</si>
  <si>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</si>
  <si>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</si>
  <si>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</si>
  <si>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</si>
  <si>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</si>
  <si>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</si>
  <si>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</si>
  <si>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</si>
  <si>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</si>
  <si>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</si>
  <si>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</si>
  <si>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</si>
  <si>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</si>
  <si>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</si>
  <si>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</si>
  <si>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</si>
  <si>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</si>
  <si>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</si>
  <si>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</si>
  <si>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</si>
  <si>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</si>
  <si>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</si>
  <si>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</si>
  <si>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</si>
  <si>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</si>
  <si>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</si>
  <si>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</si>
  <si>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</si>
  <si>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</si>
  <si>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</si>
  <si>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</si>
  <si>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</si>
  <si>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</si>
  <si>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</si>
  <si>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</si>
  <si>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</si>
  <si>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</si>
  <si>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</si>
  <si>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</si>
  <si>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</si>
  <si>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</si>
  <si>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</si>
  <si>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</si>
  <si>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</si>
  <si>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</si>
  <si>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</si>
  <si>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</si>
  <si>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</si>
  <si>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</si>
  <si>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</si>
  <si>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</si>
  <si>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</si>
  <si>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</si>
  <si>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</si>
  <si>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</si>
  <si>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</si>
  <si>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</si>
  <si>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</si>
  <si>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</si>
  <si>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</si>
  <si>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</si>
  <si>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</si>
  <si>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</si>
  <si>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</si>
  <si>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</si>
  <si>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</si>
  <si>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</si>
  <si>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</si>
  <si>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</si>
  <si>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</si>
  <si>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</si>
  <si>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</si>
  <si>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</si>
  <si>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</si>
  <si>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</si>
  <si>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</si>
  <si>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</si>
  <si>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</si>
  <si>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</si>
  <si>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</si>
  <si>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</si>
  <si>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</si>
  <si>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</si>
  <si>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</si>
  <si>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</si>
  <si>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</si>
  <si>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</si>
  <si>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</si>
  <si>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</si>
  <si>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</si>
  <si>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</si>
  <si>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</si>
  <si>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</si>
  <si>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</si>
  <si>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</si>
  <si>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</si>
  <si>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</si>
  <si>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</si>
  <si>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</si>
  <si>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</si>
  <si>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</si>
  <si>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</si>
  <si>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</si>
  <si>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</si>
  <si>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</si>
  <si>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</si>
  <si>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</si>
  <si>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</si>
  <si>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</si>
  <si>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</si>
  <si>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</si>
  <si>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</si>
  <si>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</si>
  <si>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</si>
  <si>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</si>
  <si>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</si>
  <si>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</si>
  <si>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</si>
  <si>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</si>
  <si>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</si>
  <si>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</si>
  <si>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</si>
  <si>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</si>
  <si>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</si>
  <si>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</si>
  <si>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</si>
  <si>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</si>
  <si>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</si>
  <si>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</si>
  <si>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</si>
  <si>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</si>
  <si>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</si>
  <si>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</si>
  <si>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</si>
  <si>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</si>
  <si>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</si>
  <si>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</si>
  <si>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</si>
  <si>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</si>
  <si>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</si>
  <si>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</si>
  <si>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</si>
  <si>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</si>
  <si>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</si>
  <si>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</si>
  <si>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</si>
  <si>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</si>
  <si>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</si>
  <si>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</si>
  <si>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</si>
  <si>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</si>
  <si>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</si>
  <si>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</si>
  <si>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</si>
  <si>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</si>
  <si>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</si>
  <si>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</si>
  <si>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</si>
  <si>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</si>
  <si>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</si>
  <si>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</si>
  <si>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</si>
  <si>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</si>
  <si>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</si>
  <si>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</si>
  <si>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</si>
  <si>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</si>
  <si>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</si>
  <si>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</si>
  <si>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</si>
  <si>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</si>
  <si>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</si>
  <si>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</si>
  <si>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</si>
  <si>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</si>
  <si>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</si>
  <si>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</si>
  <si>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</si>
  <si>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</si>
  <si>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</si>
  <si>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</si>
  <si>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</si>
  <si>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</si>
  <si>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</si>
  <si>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</si>
  <si>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</si>
  <si>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</si>
  <si>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</si>
  <si>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</si>
  <si>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</si>
  <si>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</si>
  <si>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</si>
  <si>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</si>
  <si>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</si>
  <si>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</si>
  <si>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</si>
  <si>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</si>
  <si>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</si>
  <si>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</si>
  <si>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</si>
  <si>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</si>
  <si>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</si>
  <si>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</si>
  <si>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</si>
  <si>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</si>
  <si>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</si>
  <si>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</si>
  <si>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</si>
  <si>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</si>
  <si>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</si>
  <si>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</si>
  <si>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</si>
  <si>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</si>
  <si>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</si>
  <si>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</si>
  <si>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</si>
  <si>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</si>
  <si>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</si>
  <si>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</si>
  <si>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</si>
  <si>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</si>
  <si>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</si>
  <si>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</si>
  <si>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</si>
  <si>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</si>
  <si>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</si>
  <si>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</si>
  <si>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</si>
  <si>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</si>
  <si>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</si>
  <si>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</si>
  <si>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</si>
  <si>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</si>
  <si>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</si>
  <si>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</si>
  <si>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</si>
  <si>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</si>
  <si>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</si>
  <si>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</si>
  <si>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</si>
  <si>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</si>
  <si>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</si>
  <si>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</si>
  <si>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</si>
  <si>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</si>
  <si>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</si>
  <si>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</si>
  <si>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</si>
  <si>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</si>
  <si>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</si>
  <si>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</si>
  <si>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</si>
  <si>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</si>
  <si>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</si>
  <si>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</si>
  <si>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</si>
  <si>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</si>
  <si>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</si>
  <si>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</si>
  <si>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</si>
  <si>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</si>
  <si>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</si>
  <si>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</si>
  <si>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</si>
  <si>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</si>
  <si>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</si>
  <si>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</si>
  <si>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</si>
  <si>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</si>
  <si>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</si>
  <si>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</si>
  <si>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</si>
  <si>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</si>
  <si>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</si>
  <si>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</si>
  <si>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</si>
  <si>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</si>
  <si>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</si>
  <si>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</si>
  <si>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</si>
  <si>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</si>
  <si>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</si>
  <si>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</si>
  <si>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</si>
  <si>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</si>
  <si>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</si>
  <si>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</si>
  <si>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</si>
  <si>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</si>
  <si>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</si>
  <si>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</si>
  <si>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</si>
  <si>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</si>
  <si>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</si>
  <si>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</si>
  <si>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</si>
  <si>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</si>
  <si>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</si>
  <si>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</si>
  <si>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</si>
  <si>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</si>
  <si>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</si>
  <si>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</si>
  <si>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</si>
  <si>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</si>
  <si>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</si>
  <si>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</si>
  <si>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</si>
  <si>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</si>
  <si>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</si>
  <si>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</si>
  <si>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</si>
  <si>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</si>
  <si>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</si>
  <si>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</si>
  <si>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</si>
  <si>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</si>
  <si>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</si>
  <si>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</si>
  <si>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</si>
  <si>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</si>
  <si>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</si>
  <si>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</si>
  <si>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</si>
  <si>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</si>
  <si>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</si>
  <si>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</si>
  <si>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</si>
  <si>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</si>
  <si>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</si>
  <si>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</si>
  <si>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</si>
  <si>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</si>
  <si>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</si>
  <si>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</si>
  <si>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</si>
  <si>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</si>
  <si>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</si>
  <si>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</si>
  <si>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</si>
  <si>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</si>
  <si>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</si>
  <si>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</si>
  <si>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</si>
  <si>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</si>
  <si>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</si>
  <si>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</si>
  <si>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</si>
  <si>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</si>
  <si>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</si>
  <si>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</si>
  <si>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</si>
  <si>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</si>
  <si>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</si>
  <si>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</si>
  <si>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</si>
  <si>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</si>
  <si>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</si>
  <si>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</si>
  <si>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</si>
  <si>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</si>
  <si>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</si>
  <si>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</si>
  <si>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</si>
  <si>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</si>
  <si>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</si>
  <si>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</si>
  <si>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</si>
  <si>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</si>
  <si>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</si>
  <si>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</si>
  <si>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</si>
  <si>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</si>
  <si>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</si>
  <si>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</si>
  <si>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</si>
  <si>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</si>
  <si>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</si>
  <si>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</si>
  <si>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</si>
  <si>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</si>
  <si>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</si>
  <si>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</si>
  <si>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</si>
  <si>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</si>
  <si>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</si>
  <si>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</si>
  <si>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</si>
  <si>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</si>
  <si>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</si>
  <si>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</si>
  <si>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</si>
  <si>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</si>
  <si>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</si>
  <si>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</si>
  <si>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</si>
  <si>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</si>
  <si>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</si>
  <si>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</si>
  <si>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</si>
  <si>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</si>
  <si>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</si>
  <si>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</si>
  <si>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</si>
  <si>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</si>
  <si>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</si>
  <si>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</si>
  <si>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</si>
  <si>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</si>
  <si>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</si>
  <si>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</si>
  <si>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</si>
  <si>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</si>
  <si>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</si>
  <si>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</si>
  <si>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</si>
  <si>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</si>
  <si>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</si>
  <si>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</si>
  <si>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</si>
  <si>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</si>
  <si>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</si>
  <si>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</si>
  <si>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</si>
  <si>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</si>
  <si>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</si>
  <si>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</si>
  <si>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</si>
  <si>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</si>
  <si>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</si>
  <si>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</si>
  <si>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</si>
  <si>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</si>
  <si>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</si>
  <si>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</si>
  <si>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</si>
  <si>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</si>
  <si>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</si>
  <si>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</si>
  <si>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</si>
  <si>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</si>
  <si>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</si>
  <si>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</si>
  <si>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</si>
  <si>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</si>
  <si>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</si>
  <si>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</si>
  <si>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</si>
  <si>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</si>
  <si>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</si>
  <si>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</si>
  <si>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</si>
  <si>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</si>
  <si>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</si>
  <si>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</si>
  <si>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</si>
  <si>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</si>
  <si>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</si>
  <si>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</si>
  <si>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</si>
  <si>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</si>
  <si>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</si>
  <si>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</si>
  <si>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</si>
  <si>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</si>
  <si>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</si>
  <si>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</si>
  <si>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</si>
  <si>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</si>
  <si>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</si>
  <si>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</si>
  <si>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</si>
  <si>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</si>
  <si>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</si>
  <si>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</si>
  <si>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</si>
  <si>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</si>
  <si>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</si>
  <si>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</si>
  <si>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</si>
  <si>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</si>
  <si>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</si>
  <si>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</si>
  <si>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</si>
  <si>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</si>
  <si>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</si>
  <si>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</si>
  <si>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</si>
  <si>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</si>
  <si>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</si>
  <si>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</si>
  <si>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</si>
  <si>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</si>
  <si>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</si>
  <si>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</si>
  <si>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</si>
  <si>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</si>
  <si>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</si>
  <si>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</si>
  <si>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</si>
  <si>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</si>
  <si>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</si>
  <si>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</si>
  <si>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</si>
  <si>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</si>
  <si>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</si>
  <si>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</si>
  <si>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</si>
  <si>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</si>
  <si>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</si>
  <si>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</si>
  <si>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</si>
  <si>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</si>
  <si>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</si>
  <si>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</si>
  <si>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</si>
  <si>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</si>
  <si>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</si>
  <si>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</si>
  <si>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</si>
  <si>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</si>
  <si>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</si>
  <si>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</si>
  <si>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</si>
  <si>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</si>
  <si>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</si>
  <si>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</si>
  <si>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</si>
  <si>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</si>
  <si>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</si>
  <si>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</si>
  <si>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</si>
  <si>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</si>
  <si>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</si>
  <si>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</si>
  <si>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</si>
  <si>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</si>
  <si>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</si>
  <si>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</si>
  <si>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</si>
  <si>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</si>
  <si>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</si>
  <si>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</si>
  <si>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</si>
  <si>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</si>
  <si>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</si>
  <si>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</si>
  <si>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</si>
  <si>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</si>
  <si>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</si>
  <si>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</si>
  <si>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</si>
  <si>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</si>
  <si>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</si>
  <si>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</si>
  <si>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</si>
  <si>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</si>
  <si>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</si>
  <si>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</si>
  <si>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</si>
  <si>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</si>
  <si>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</si>
  <si>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</si>
  <si>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</si>
  <si>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</si>
  <si>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</si>
  <si>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</si>
  <si>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</si>
  <si>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</si>
  <si>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</si>
  <si>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</si>
  <si>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</si>
  <si>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</si>
  <si>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</si>
  <si>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</si>
  <si>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</si>
  <si>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</si>
  <si>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</si>
  <si>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</si>
  <si>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</si>
  <si>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</si>
  <si>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</si>
  <si>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</si>
  <si>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</si>
  <si>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</si>
  <si>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</si>
  <si>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</si>
  <si>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</si>
  <si>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</si>
  <si>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</si>
  <si>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</si>
  <si>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</si>
  <si>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</si>
  <si>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</si>
  <si>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</si>
  <si>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</si>
  <si>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</si>
  <si>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</si>
  <si>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</si>
  <si>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</si>
  <si>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</si>
  <si>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</si>
  <si>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</si>
  <si>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</si>
  <si>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</si>
  <si>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</si>
  <si>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</si>
  <si>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</si>
  <si>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</si>
  <si>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</si>
  <si>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</si>
  <si>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</si>
  <si>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</si>
  <si>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</si>
  <si>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</si>
  <si>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</si>
  <si>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</si>
  <si>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</si>
  <si>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</si>
  <si>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</si>
  <si>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</si>
  <si>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</si>
  <si>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</si>
  <si>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</si>
  <si>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</si>
  <si>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</si>
  <si>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</si>
  <si>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</si>
  <si>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</si>
  <si>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</si>
  <si>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</si>
  <si>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</si>
  <si>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</si>
  <si>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</si>
  <si>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</si>
  <si>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</si>
  <si>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</si>
  <si>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</si>
  <si>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</si>
  <si>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</si>
  <si>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</si>
  <si>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</si>
  <si>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</si>
  <si>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</si>
  <si>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</si>
  <si>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</si>
  <si>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</si>
  <si>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</si>
  <si>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</si>
  <si>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</si>
  <si>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</si>
  <si>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</si>
  <si>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</si>
  <si>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</si>
  <si>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</si>
  <si>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</si>
  <si>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</si>
  <si>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</si>
  <si>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</si>
  <si>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</si>
  <si>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</si>
  <si>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</si>
  <si>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</si>
  <si>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</si>
  <si>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</si>
  <si>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</si>
  <si>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</si>
  <si>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</si>
  <si>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</si>
  <si>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</si>
  <si>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</si>
  <si>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</si>
  <si>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</si>
  <si>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</si>
  <si>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</si>
  <si>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</si>
  <si>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</si>
  <si>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</si>
  <si>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</si>
  <si>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</si>
  <si>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</si>
  <si>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</si>
  <si>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</si>
  <si>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</si>
  <si>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</si>
  <si>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</si>
  <si>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</si>
  <si>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</si>
  <si>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</si>
  <si>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</si>
  <si>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</si>
  <si>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</si>
  <si>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</si>
  <si>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</si>
  <si>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</si>
  <si>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</si>
  <si>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</si>
  <si>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</si>
  <si>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</si>
  <si>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</si>
  <si>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</si>
  <si>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</si>
  <si>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</si>
  <si>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</si>
  <si>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</si>
  <si>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</si>
  <si>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</si>
  <si>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</si>
  <si>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</si>
  <si>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</si>
  <si>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</si>
  <si>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</si>
  <si>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</si>
  <si>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</si>
  <si>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</si>
  <si>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</si>
  <si>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</si>
  <si>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</si>
  <si>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</si>
  <si>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</si>
  <si>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</si>
  <si>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</si>
  <si>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</si>
  <si>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</si>
  <si>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</si>
  <si>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</si>
  <si>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</si>
  <si>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</si>
  <si>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</si>
  <si>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</si>
  <si>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</si>
  <si>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</si>
  <si>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</si>
  <si>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</si>
  <si>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</si>
  <si>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</si>
  <si>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</si>
  <si>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</si>
  <si>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</si>
  <si>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</si>
  <si>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</si>
  <si>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</si>
  <si>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</si>
  <si>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</si>
  <si>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</si>
  <si>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</si>
  <si>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</si>
  <si>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</si>
  <si>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</si>
  <si>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</si>
  <si>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</si>
  <si>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</si>
  <si>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</si>
  <si>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</si>
  <si>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</si>
  <si>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</si>
  <si>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</si>
  <si>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</si>
  <si>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</si>
  <si>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</si>
  <si>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</si>
  <si>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</si>
  <si>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</si>
  <si>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</si>
  <si>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</si>
  <si>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</si>
  <si>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</si>
  <si>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</si>
  <si>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</si>
  <si>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</si>
  <si>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</si>
  <si>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</si>
  <si>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</si>
  <si>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</si>
  <si>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</si>
  <si>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</si>
  <si>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</si>
  <si>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</si>
  <si>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</si>
  <si>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</si>
  <si>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</si>
  <si>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</si>
  <si>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</si>
  <si>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</si>
  <si>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</si>
  <si>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</si>
  <si>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</si>
  <si>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</si>
  <si>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</si>
  <si>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</si>
  <si>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</si>
  <si>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</si>
  <si>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</si>
  <si>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</si>
  <si>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</si>
  <si>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</si>
  <si>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</si>
  <si>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</si>
  <si>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</si>
  <si>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</si>
  <si>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</si>
  <si>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</si>
  <si>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</si>
  <si>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</si>
  <si>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</si>
  <si>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</si>
  <si>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</si>
  <si>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</si>
  <si>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</si>
  <si>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</si>
  <si>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</si>
  <si>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</si>
  <si>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</si>
  <si>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</si>
  <si>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</si>
  <si>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</si>
  <si>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</si>
  <si>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</si>
  <si>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</si>
  <si>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</si>
  <si>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</si>
  <si>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</si>
  <si>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</si>
  <si>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</si>
  <si>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</si>
  <si>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</si>
  <si>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</si>
  <si>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</si>
  <si>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</si>
  <si>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</si>
  <si>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</si>
  <si>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</si>
  <si>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</si>
  <si>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</si>
  <si>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</si>
  <si>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</si>
  <si>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</si>
  <si>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</si>
  <si>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</si>
  <si>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</si>
  <si>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</si>
  <si>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</si>
  <si>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</si>
  <si>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</si>
  <si>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</si>
  <si>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</si>
  <si>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</si>
  <si>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</si>
  <si>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</si>
  <si>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</si>
  <si>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</si>
  <si>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</si>
  <si>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</si>
  <si>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</si>
  <si>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</si>
  <si>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</si>
  <si>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</si>
  <si>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</si>
  <si>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</si>
  <si>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</si>
  <si>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</si>
  <si>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</si>
  <si>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</si>
  <si>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</si>
  <si>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</si>
  <si>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</si>
  <si>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</si>
  <si>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</si>
  <si>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</si>
  <si>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</si>
  <si>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</si>
  <si>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</si>
  <si>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</si>
  <si>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</si>
  <si>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</si>
  <si>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</si>
  <si>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</si>
  <si>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</si>
  <si>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</si>
  <si>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</si>
  <si>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</si>
  <si>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</si>
  <si>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</si>
  <si>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</si>
  <si>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</si>
  <si>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</si>
  <si>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</si>
  <si>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</si>
  <si>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</si>
  <si>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</si>
  <si>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</si>
  <si>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</si>
  <si>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</si>
  <si>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</si>
  <si>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</si>
  <si>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</si>
  <si>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</si>
  <si>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</si>
  <si>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</si>
  <si>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</si>
  <si>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</si>
  <si>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</si>
  <si>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</si>
  <si>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</si>
  <si>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</si>
  <si>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</si>
  <si>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</si>
  <si>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</si>
  <si>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</si>
  <si>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</si>
  <si>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</si>
  <si>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</si>
  <si>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</si>
  <si>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</si>
  <si>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</si>
  <si>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</si>
  <si>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</si>
  <si>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</si>
  <si>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</si>
  <si>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</si>
  <si>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</si>
  <si>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</si>
  <si>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</si>
  <si>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</si>
  <si>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</si>
  <si>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</si>
  <si>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</si>
  <si>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</si>
  <si>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</si>
  <si>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</si>
  <si>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</si>
  <si>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</si>
  <si>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</si>
  <si>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</si>
  <si>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</si>
  <si>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</si>
  <si>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</si>
  <si>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</si>
  <si>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</si>
  <si>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</si>
  <si>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</si>
  <si>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</si>
  <si>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</si>
  <si>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</si>
  <si>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</si>
  <si>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</si>
  <si>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</si>
  <si>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</si>
  <si>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</si>
  <si>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</si>
  <si>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</si>
  <si>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</si>
  <si>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</si>
  <si>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</si>
  <si>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</si>
  <si>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</si>
  <si>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</si>
  <si>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</si>
  <si>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</si>
  <si>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</si>
  <si>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</si>
  <si>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</si>
  <si>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</si>
  <si>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</si>
  <si>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</si>
  <si>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</si>
  <si>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</si>
  <si>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</si>
  <si>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</si>
  <si>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</si>
  <si>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</si>
  <si>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</si>
  <si>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</si>
  <si>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</si>
  <si>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</si>
  <si>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</si>
  <si>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</si>
  <si>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</si>
  <si>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</si>
  <si>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</si>
  <si>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</si>
  <si>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</si>
  <si>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</si>
  <si>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</si>
  <si>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</si>
  <si>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</si>
  <si>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</si>
  <si>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</si>
  <si>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</si>
  <si>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</si>
  <si>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</si>
  <si>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</si>
  <si>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</si>
  <si>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</si>
  <si>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</si>
  <si>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</si>
  <si>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</si>
  <si>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</si>
  <si>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</si>
  <si>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</si>
  <si>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</si>
  <si>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</si>
  <si>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</si>
  <si>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</si>
  <si>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</si>
  <si>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</si>
  <si>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</si>
  <si>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</si>
  <si>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</si>
  <si>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</si>
  <si>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</si>
  <si>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</si>
  <si>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</si>
  <si>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</si>
  <si>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</si>
  <si>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</si>
  <si>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</si>
  <si>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</si>
  <si>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</si>
  <si>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</si>
  <si>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</si>
  <si>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</si>
  <si>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</si>
  <si>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</si>
  <si>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</si>
  <si>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</si>
  <si>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</si>
  <si>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</si>
  <si>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</si>
  <si>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</si>
  <si>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</si>
  <si>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</si>
  <si>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</si>
  <si>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</si>
  <si>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</si>
  <si>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</si>
  <si>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</si>
  <si>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</si>
  <si>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</si>
  <si>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</si>
  <si>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</si>
  <si>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</si>
  <si>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</si>
  <si>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</si>
  <si>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</si>
  <si>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</si>
  <si>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</si>
  <si>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</si>
  <si>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</si>
  <si>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</si>
  <si>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</si>
  <si>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</si>
  <si>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</si>
  <si>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</si>
  <si>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</si>
  <si>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</si>
  <si>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</si>
  <si>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</si>
  <si>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</si>
  <si>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</si>
  <si>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</si>
  <si>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</si>
  <si>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</si>
  <si>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</si>
  <si>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</si>
  <si>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</si>
  <si>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</si>
  <si>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</si>
  <si>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</si>
  <si>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</si>
  <si>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</si>
  <si>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</si>
  <si>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</si>
  <si>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</si>
  <si>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</si>
  <si>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</si>
  <si>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</si>
  <si>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</si>
  <si>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</si>
  <si>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</si>
  <si>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</si>
  <si>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</si>
  <si>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</si>
  <si>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</si>
  <si>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</si>
  <si>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</si>
  <si>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</si>
  <si>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</si>
  <si>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</si>
  <si>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</si>
  <si>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</si>
  <si>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</si>
  <si>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</si>
  <si>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</si>
  <si>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</si>
  <si>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</si>
  <si>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</si>
  <si>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</si>
  <si>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</si>
  <si>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</si>
  <si>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</si>
  <si>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</si>
  <si>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</si>
  <si>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</si>
  <si>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</si>
  <si>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</si>
  <si>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</si>
  <si>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</si>
  <si>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</si>
  <si>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</si>
  <si>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</si>
  <si>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</si>
  <si>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</si>
  <si>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</si>
  <si>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</si>
  <si>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</si>
  <si>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</si>
  <si>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</si>
  <si>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</si>
  <si>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</si>
  <si>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</si>
  <si>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</si>
  <si>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</si>
  <si>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</si>
  <si>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</si>
  <si>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</si>
  <si>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</si>
  <si>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</si>
  <si>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</si>
  <si>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</si>
  <si>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</si>
  <si>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</si>
  <si>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</si>
  <si>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</si>
  <si>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</si>
  <si>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</si>
  <si>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</si>
  <si>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</si>
  <si>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</si>
  <si>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</si>
  <si>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</si>
  <si>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</si>
  <si>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</si>
  <si>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</si>
  <si>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</si>
  <si>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</si>
  <si>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</si>
  <si>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</si>
  <si>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</si>
  <si>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</si>
  <si>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</si>
  <si>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</si>
  <si>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</si>
  <si>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</si>
  <si>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</si>
  <si>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</si>
  <si>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</si>
  <si>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</si>
  <si>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</si>
  <si>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</si>
  <si>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</si>
  <si>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</si>
  <si>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</si>
  <si>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</si>
  <si>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</si>
  <si>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</si>
  <si>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</si>
  <si>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</si>
  <si>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</si>
  <si>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</si>
  <si>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</si>
  <si>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</si>
  <si>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</si>
  <si>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</si>
  <si>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</si>
  <si>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</si>
  <si>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</si>
  <si>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</si>
  <si>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</si>
  <si>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</si>
  <si>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</si>
  <si>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</si>
  <si>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</si>
  <si>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</si>
  <si>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</si>
  <si>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</si>
  <si>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</si>
  <si>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</si>
  <si>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</si>
  <si>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</si>
  <si>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</si>
  <si>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</si>
  <si>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</si>
  <si>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</si>
  <si>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</si>
  <si>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</si>
  <si>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</si>
  <si>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</si>
  <si>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</si>
  <si>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</si>
  <si>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</si>
  <si>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</si>
  <si>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</si>
  <si>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</si>
  <si>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</si>
  <si>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</si>
  <si>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</si>
  <si>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</si>
  <si>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</si>
  <si>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</si>
  <si>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</si>
  <si>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</si>
  <si>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</si>
  <si>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</si>
  <si>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</si>
  <si>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</si>
  <si>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</si>
  <si>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</si>
  <si>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</si>
  <si>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</si>
  <si>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</si>
  <si>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</si>
  <si>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</si>
  <si>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</si>
  <si>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</si>
  <si>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</si>
  <si>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</si>
  <si>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</si>
  <si>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</si>
  <si>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</si>
  <si>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</si>
  <si>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</si>
  <si>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</si>
  <si>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</si>
  <si>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</si>
  <si>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</si>
  <si>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</si>
  <si>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</si>
  <si>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</si>
  <si>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</si>
  <si>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</si>
  <si>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</si>
  <si>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</si>
  <si>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</si>
  <si>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</si>
  <si>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</si>
  <si>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</si>
  <si>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</si>
  <si>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</si>
  <si>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</si>
  <si>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</si>
  <si>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</si>
  <si>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</si>
  <si>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</si>
  <si>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</si>
  <si>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</si>
  <si>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</si>
  <si>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</si>
  <si>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</si>
  <si>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</si>
  <si>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</si>
  <si>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</si>
  <si>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</si>
  <si>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</si>
  <si>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</si>
  <si>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</si>
  <si>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</si>
  <si>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</si>
  <si>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</si>
  <si>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</si>
  <si>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</si>
  <si>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</si>
  <si>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</si>
  <si>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</si>
  <si>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</si>
  <si>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</si>
  <si>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</si>
  <si>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</si>
  <si>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</si>
  <si>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</si>
  <si>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</si>
  <si>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</si>
  <si>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</si>
  <si>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</si>
  <si>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</si>
  <si>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</si>
  <si>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</si>
  <si>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</si>
  <si>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</si>
  <si>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</si>
  <si>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</si>
  <si>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</si>
  <si>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</si>
  <si>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</si>
  <si>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</si>
  <si>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</si>
  <si>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</si>
  <si>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</si>
  <si>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</si>
  <si>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</si>
  <si>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</si>
  <si>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</si>
  <si>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</si>
  <si>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</si>
  <si>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</si>
  <si>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</si>
  <si>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</si>
  <si>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</si>
  <si>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</si>
  <si>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</si>
  <si>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</si>
  <si>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</si>
  <si>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</si>
  <si>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</si>
  <si>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</si>
  <si>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</si>
  <si>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</si>
  <si>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</si>
  <si>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</si>
  <si>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</si>
  <si>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</si>
  <si>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</si>
  <si>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</si>
  <si>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</si>
  <si>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</si>
  <si>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</si>
  <si>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</si>
  <si>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</si>
  <si>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</si>
  <si>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</si>
  <si>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</si>
  <si>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</si>
  <si>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</si>
  <si>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</si>
  <si>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</si>
  <si>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</si>
  <si>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</si>
  <si>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</si>
  <si>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</si>
  <si>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</si>
  <si>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</si>
  <si>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</si>
  <si>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</si>
  <si>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</si>
  <si>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</si>
  <si>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</si>
  <si>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</si>
  <si>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</si>
  <si>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</si>
  <si>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</si>
  <si>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</si>
  <si>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</si>
  <si>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</si>
  <si>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</si>
  <si>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</si>
  <si>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</si>
  <si>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</si>
  <si>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</si>
  <si>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</si>
  <si>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</si>
  <si>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</si>
  <si>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</si>
  <si>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</si>
  <si>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</si>
  <si>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</si>
  <si>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</si>
  <si>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</si>
  <si>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</si>
  <si>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</si>
  <si>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</si>
  <si>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</si>
  <si>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</si>
  <si>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</si>
  <si>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</si>
  <si>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</si>
  <si>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</si>
  <si>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</si>
  <si>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</si>
  <si>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</si>
  <si>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</si>
  <si>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</si>
  <si>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</si>
  <si>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</si>
  <si>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</si>
  <si>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</si>
  <si>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</si>
  <si>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</si>
  <si>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</si>
  <si>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</si>
  <si>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</si>
  <si>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</si>
  <si>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</si>
  <si>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</si>
  <si>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</si>
  <si>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</si>
  <si>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</si>
  <si>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</si>
  <si>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</si>
  <si>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</si>
  <si>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</si>
  <si>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</si>
  <si>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</si>
  <si>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</si>
  <si>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</si>
  <si>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</si>
  <si>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</si>
  <si>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</si>
  <si>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</si>
  <si>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</si>
  <si>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</si>
  <si>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</si>
  <si>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</si>
  <si>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</si>
  <si>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</si>
  <si>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</si>
  <si>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</si>
  <si>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</si>
  <si>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</si>
  <si>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</si>
  <si>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</si>
  <si>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</si>
  <si>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</si>
  <si>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</si>
  <si>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</si>
  <si>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</si>
  <si>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</si>
  <si>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</si>
  <si>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</si>
  <si>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</si>
  <si>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</si>
  <si>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</si>
  <si>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</si>
  <si>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</si>
  <si>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</si>
  <si>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</si>
  <si>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</si>
  <si>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</si>
  <si>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</si>
  <si>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</si>
  <si>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</si>
  <si>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</si>
  <si>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</si>
  <si>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</si>
  <si>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</si>
  <si>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</si>
  <si>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</si>
  <si>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</si>
  <si>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</si>
  <si>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</si>
  <si>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</si>
  <si>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</si>
  <si>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</si>
  <si>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</si>
  <si>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</si>
  <si>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</si>
  <si>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</si>
  <si>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</si>
  <si>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</si>
  <si>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</si>
  <si>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</si>
  <si>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</si>
  <si>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</si>
  <si>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</si>
  <si>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</si>
  <si>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</si>
  <si>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</si>
  <si>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</si>
  <si>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</si>
  <si>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</si>
  <si>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</si>
  <si>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</si>
  <si>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</si>
  <si>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</si>
  <si>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</si>
  <si>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</si>
  <si>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</si>
  <si>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</si>
  <si>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</si>
  <si>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</si>
  <si>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</si>
  <si>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</si>
  <si>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</si>
  <si>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</si>
  <si>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</si>
  <si>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</si>
  <si>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</si>
  <si>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</si>
  <si>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</si>
  <si>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</si>
  <si>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</si>
  <si>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</si>
  <si>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</si>
  <si>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</si>
  <si>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</si>
  <si>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</si>
  <si>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</si>
  <si>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</si>
  <si>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</si>
  <si>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</si>
  <si>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</si>
  <si>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</si>
  <si>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</si>
  <si>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</si>
  <si>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</si>
  <si>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</si>
  <si>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</si>
  <si>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</si>
  <si>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</si>
  <si>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</si>
  <si>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</si>
  <si>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</si>
  <si>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</si>
  <si>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</si>
  <si>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</si>
  <si>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</si>
  <si>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</si>
  <si>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</si>
  <si>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</si>
  <si>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</si>
  <si>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</si>
  <si>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</si>
  <si>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</si>
  <si>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</si>
  <si>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</si>
  <si>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</si>
  <si>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</si>
  <si>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</si>
  <si>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</si>
  <si>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</si>
  <si>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</si>
  <si>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</si>
  <si>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</si>
  <si>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</si>
  <si>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</si>
  <si>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</si>
  <si>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</si>
  <si>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</si>
  <si>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</si>
  <si>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</si>
  <si>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</si>
  <si>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</si>
  <si>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</si>
  <si>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</si>
  <si>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</si>
  <si>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</si>
  <si>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</si>
  <si>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</si>
  <si>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</si>
  <si>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</si>
  <si>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</si>
  <si>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</si>
  <si>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</si>
  <si>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</si>
  <si>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</si>
  <si>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</si>
  <si>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</si>
  <si>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</si>
  <si>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</si>
  <si>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</si>
  <si>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</si>
  <si>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</si>
  <si>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</si>
  <si>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</si>
  <si>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</si>
  <si>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</si>
  <si>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</si>
  <si>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</si>
  <si>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</si>
  <si>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</si>
  <si>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</si>
  <si>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</si>
  <si>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</si>
  <si>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</si>
  <si>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</si>
  <si>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</si>
  <si>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</si>
  <si>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</si>
  <si>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</si>
  <si>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</si>
  <si>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</si>
  <si>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</si>
  <si>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</si>
  <si>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</si>
  <si>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</si>
  <si>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</si>
  <si>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</si>
  <si>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</si>
  <si>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</si>
  <si>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</si>
  <si>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</si>
  <si>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</si>
  <si>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</si>
  <si>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</si>
  <si>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</si>
  <si>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</si>
  <si>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</si>
  <si>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</si>
  <si>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</si>
  <si>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</si>
  <si>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</si>
  <si>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</si>
  <si>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</si>
  <si>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</si>
  <si>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</si>
  <si>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</si>
  <si>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</si>
  <si>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</si>
  <si>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</si>
  <si>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</si>
  <si>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</si>
  <si>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</si>
  <si>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</si>
  <si>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</si>
  <si>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</si>
  <si>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</si>
  <si>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</si>
  <si>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</si>
  <si>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</si>
  <si>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</si>
  <si>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</si>
  <si>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</si>
  <si>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</si>
  <si>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</si>
  <si>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</si>
  <si>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</si>
  <si>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</si>
  <si>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</si>
  <si>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</si>
  <si>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</si>
  <si>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</si>
  <si>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</si>
  <si>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</si>
  <si>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</si>
  <si>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</si>
  <si>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</si>
  <si>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</si>
  <si>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</si>
  <si>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</si>
  <si>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</si>
  <si>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</si>
  <si>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</si>
  <si>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</si>
  <si>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</si>
  <si>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</si>
  <si>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</si>
  <si>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</si>
  <si>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</si>
  <si>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</si>
  <si>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</si>
  <si>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</si>
  <si>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</si>
  <si>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</si>
  <si>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</si>
  <si>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</si>
  <si>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</si>
  <si>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</si>
  <si>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</si>
  <si>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</si>
  <si>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</si>
  <si>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</si>
  <si>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</si>
  <si>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</si>
  <si>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</si>
  <si>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</si>
  <si>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</si>
  <si>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</si>
  <si>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</si>
  <si>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</si>
  <si>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</si>
  <si>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</si>
  <si>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</si>
  <si>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</si>
  <si>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</si>
  <si>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</si>
  <si>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</si>
  <si>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</si>
  <si>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</si>
  <si>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</si>
  <si>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</si>
  <si>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</si>
  <si>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</si>
  <si>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</si>
  <si>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</si>
  <si>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</si>
  <si>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</si>
  <si>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</si>
  <si>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</si>
  <si>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</si>
  <si>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</si>
  <si>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</si>
  <si>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</si>
  <si>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</si>
  <si>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</si>
  <si>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</si>
  <si>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</si>
  <si>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</si>
  <si>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</si>
  <si>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</si>
  <si>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</si>
  <si>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</si>
  <si>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</si>
  <si>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</si>
  <si>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</si>
  <si>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</si>
  <si>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</si>
  <si>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</si>
  <si>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</si>
  <si>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</si>
  <si>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</si>
  <si>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</si>
  <si>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</si>
  <si>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</si>
  <si>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</si>
  <si>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</si>
  <si>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</si>
  <si>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</si>
  <si>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</si>
  <si>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</si>
  <si>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</si>
  <si>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</si>
  <si>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</si>
  <si>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</si>
  <si>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</si>
  <si>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</si>
  <si>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</si>
  <si>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</si>
  <si>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</si>
  <si>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</si>
  <si>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</si>
  <si>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</si>
  <si>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</si>
  <si>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</si>
  <si>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</si>
  <si>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</si>
  <si>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</si>
  <si>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</si>
  <si>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</si>
  <si>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</si>
  <si>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</si>
  <si>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</si>
  <si>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</si>
  <si>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</si>
  <si>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</si>
  <si>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</si>
  <si>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</si>
  <si>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</si>
  <si>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</si>
  <si>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</si>
  <si>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</si>
  <si>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</si>
  <si>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</si>
  <si>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</si>
  <si>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</si>
  <si>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</si>
  <si>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</si>
  <si>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</si>
  <si>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</si>
  <si>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</si>
  <si>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</si>
  <si>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</si>
  <si>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</si>
  <si>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</si>
  <si>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</si>
  <si>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</si>
  <si>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</si>
  <si>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</si>
  <si>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</si>
  <si>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</si>
  <si>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</si>
  <si>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</si>
  <si>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</si>
  <si>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</si>
  <si>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</si>
  <si>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</si>
  <si>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</si>
  <si>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</si>
  <si>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</si>
  <si>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</si>
  <si>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</si>
  <si>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</si>
  <si>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</si>
  <si>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</si>
  <si>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</si>
  <si>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</si>
  <si>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</si>
  <si>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</si>
  <si>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</si>
  <si>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</si>
  <si>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</si>
  <si>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</si>
  <si>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</si>
  <si>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</si>
  <si>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</si>
  <si>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</si>
  <si>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</si>
  <si>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</si>
  <si>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</si>
  <si>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</si>
  <si>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</si>
  <si>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</si>
  <si>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</si>
  <si>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</si>
  <si>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</si>
  <si>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</si>
  <si>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</si>
  <si>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</si>
  <si>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</si>
  <si>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</si>
  <si>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</si>
  <si>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</si>
  <si>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</si>
  <si>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</si>
  <si>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</si>
  <si>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</si>
  <si>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</si>
  <si>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</si>
  <si>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</si>
  <si>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</si>
  <si>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</si>
  <si>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</si>
  <si>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</si>
  <si>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</si>
  <si>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</si>
  <si>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</si>
  <si>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</si>
  <si>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</si>
  <si>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</si>
  <si>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</si>
  <si>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</si>
  <si>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</si>
  <si>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</si>
  <si>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</si>
  <si>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</si>
  <si>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</si>
  <si>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</si>
  <si>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</si>
  <si>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</si>
  <si>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</si>
  <si>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</si>
  <si>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</si>
  <si>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</si>
  <si>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</si>
  <si>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</si>
  <si>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</si>
  <si>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</si>
  <si>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</si>
  <si>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</si>
  <si>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</si>
  <si>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</si>
  <si>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</si>
  <si>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</si>
  <si>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</si>
  <si>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</si>
  <si>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</si>
  <si>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</si>
  <si>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</si>
  <si>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</si>
  <si>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</si>
  <si>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</si>
  <si>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</si>
  <si>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</si>
  <si>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</si>
  <si>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</si>
  <si>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</si>
  <si>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</si>
  <si>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</si>
  <si>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</si>
  <si>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</si>
  <si>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</si>
  <si>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</si>
  <si>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</si>
  <si>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</si>
  <si>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</si>
  <si>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</si>
  <si>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</si>
  <si>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</si>
  <si>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</si>
  <si>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</si>
  <si>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</si>
  <si>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</si>
  <si>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</si>
  <si>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</si>
  <si>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</si>
  <si>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</si>
  <si>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</si>
  <si>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</si>
  <si>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</si>
  <si>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</si>
  <si>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</si>
  <si>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</si>
  <si>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</si>
  <si>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</si>
  <si>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</si>
  <si>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</si>
  <si>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</si>
  <si>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</si>
  <si>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</si>
  <si>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</si>
  <si>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</si>
  <si>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</si>
  <si>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</si>
  <si>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</si>
  <si>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</si>
  <si>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</si>
  <si>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</si>
  <si>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</si>
  <si>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</si>
  <si>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</si>
  <si>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</si>
  <si>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</si>
  <si>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</si>
  <si>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</si>
  <si>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</si>
  <si>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</si>
  <si>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</si>
  <si>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</si>
  <si>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</si>
  <si>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</si>
  <si>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</si>
  <si>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</si>
  <si>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</si>
  <si>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</si>
  <si>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</si>
  <si>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</si>
  <si>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</si>
  <si>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</si>
  <si>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</si>
  <si>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</si>
  <si>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</si>
  <si>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</si>
  <si>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</si>
  <si>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</si>
  <si>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</si>
  <si>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</si>
  <si>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</si>
  <si>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</si>
  <si>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</si>
  <si>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</si>
  <si>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</si>
  <si>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</si>
  <si>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</si>
  <si>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</si>
  <si>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</si>
  <si>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</si>
  <si>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</si>
  <si>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</si>
  <si>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</si>
  <si>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</si>
  <si>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</si>
  <si>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</si>
  <si>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</si>
  <si>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</si>
  <si>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</si>
  <si>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</si>
  <si>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</si>
  <si>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</si>
  <si>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</si>
  <si>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</si>
  <si>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</si>
  <si>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</si>
  <si>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</si>
  <si>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</si>
  <si>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</si>
  <si>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</si>
  <si>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</si>
  <si>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</si>
  <si>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</si>
  <si>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</si>
  <si>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</si>
  <si>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</si>
  <si>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</si>
  <si>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</si>
  <si>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</si>
  <si>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</si>
  <si>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</si>
  <si>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</si>
  <si>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</si>
  <si>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</si>
  <si>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</si>
  <si>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</si>
  <si>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</si>
  <si>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</si>
  <si>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</si>
  <si>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</si>
  <si>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</si>
  <si>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</si>
  <si>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</si>
  <si>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</si>
  <si>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</si>
  <si>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</si>
  <si>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</si>
  <si>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</si>
  <si>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</si>
  <si>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</si>
  <si>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</si>
  <si>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</si>
  <si>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</si>
  <si>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</si>
  <si>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</si>
  <si>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</si>
  <si>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</si>
  <si>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</si>
  <si>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</si>
  <si>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</si>
  <si>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</si>
  <si>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</si>
  <si>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</si>
  <si>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</si>
  <si>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</si>
  <si>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</si>
  <si>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</si>
  <si>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</si>
  <si>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</si>
  <si>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</si>
  <si>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</si>
  <si>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</si>
  <si>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</si>
  <si>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</si>
  <si>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</si>
  <si>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</si>
  <si>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</si>
  <si>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</si>
  <si>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</si>
  <si>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</si>
  <si>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</si>
  <si>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</si>
  <si>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</si>
  <si>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</si>
  <si>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</si>
  <si>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</si>
  <si>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</si>
  <si>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</si>
  <si>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</si>
  <si>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</si>
  <si>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</si>
  <si>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</si>
  <si>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</si>
  <si>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</si>
  <si>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</si>
  <si>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</si>
  <si>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</si>
  <si>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</si>
  <si>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</si>
  <si>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</si>
  <si>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</si>
  <si>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</si>
  <si>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</si>
  <si>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</si>
  <si>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</si>
  <si>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</si>
  <si>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</si>
  <si>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</si>
  <si>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</si>
  <si>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</si>
  <si>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</si>
  <si>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</si>
  <si>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</si>
  <si>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</si>
  <si>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</si>
  <si>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</si>
  <si>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</si>
  <si>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</si>
  <si>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</si>
  <si>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</si>
  <si>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</si>
  <si>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</si>
  <si>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</si>
  <si>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</si>
  <si>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</si>
  <si>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</si>
  <si>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</si>
  <si>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</si>
  <si>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</si>
  <si>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</si>
  <si>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</si>
  <si>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</si>
  <si>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</si>
  <si>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</si>
  <si>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</si>
  <si>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</si>
  <si>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</si>
  <si>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</si>
  <si>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</si>
  <si>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</si>
  <si>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</si>
  <si>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</si>
  <si>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</si>
  <si>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</si>
  <si>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</si>
  <si>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</si>
  <si>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</si>
  <si>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</si>
  <si>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</si>
  <si>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</si>
  <si>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</si>
  <si>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</si>
  <si>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</si>
  <si>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</si>
  <si>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</si>
  <si>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</si>
  <si>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</si>
  <si>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</si>
  <si>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</si>
  <si>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</si>
  <si>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</si>
  <si>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</si>
  <si>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</si>
  <si>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</si>
  <si>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</si>
  <si>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</si>
  <si>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</si>
  <si>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</si>
  <si>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</si>
  <si>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</si>
  <si>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</si>
  <si>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</si>
  <si>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</si>
  <si>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</si>
  <si>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</si>
  <si>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</si>
  <si>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</si>
  <si>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</si>
  <si>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</si>
  <si>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</si>
  <si>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</si>
  <si>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</si>
  <si>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</si>
  <si>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</si>
  <si>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</si>
  <si>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</si>
  <si>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</si>
  <si>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</si>
  <si>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</si>
  <si>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</si>
  <si>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</si>
  <si>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</si>
  <si>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</si>
  <si>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</si>
  <si>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</si>
  <si>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</si>
  <si>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</si>
  <si>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</si>
  <si>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</si>
  <si>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</si>
  <si>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</si>
  <si>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</si>
  <si>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</si>
  <si>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</si>
  <si>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</si>
  <si>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</si>
  <si>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</si>
  <si>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</si>
  <si>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</si>
  <si>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</si>
  <si>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</si>
  <si>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</si>
  <si>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</si>
  <si>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</si>
  <si>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</si>
  <si>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</si>
  <si>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</si>
  <si>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</si>
  <si>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</si>
  <si>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</si>
  <si>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</si>
  <si>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</si>
  <si>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</si>
  <si>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</si>
  <si>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</si>
  <si>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</si>
  <si>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</si>
  <si>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</si>
  <si>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</si>
  <si>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</si>
  <si>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</si>
  <si>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</si>
  <si>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</si>
  <si>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</si>
  <si>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</si>
  <si>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</si>
  <si>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</si>
  <si>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</si>
  <si>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</si>
  <si>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</si>
  <si>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</si>
  <si>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</si>
  <si>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</si>
  <si>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</si>
  <si>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</si>
  <si>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</si>
  <si>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</si>
  <si>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</si>
  <si>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</si>
  <si>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</si>
  <si>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</si>
  <si>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</si>
  <si>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</si>
  <si>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</si>
  <si>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</si>
  <si>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</si>
  <si>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</si>
  <si>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</si>
  <si>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</si>
  <si>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</si>
  <si>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</si>
  <si>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</si>
  <si>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</si>
  <si>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</si>
  <si>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</si>
  <si>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</si>
  <si>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</si>
  <si>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</si>
  <si>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</si>
  <si>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</si>
  <si>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</si>
  <si>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</si>
  <si>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</si>
  <si>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</si>
  <si>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</si>
  <si>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</si>
  <si>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</si>
  <si>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</si>
  <si>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</si>
  <si>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</si>
  <si>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</si>
  <si>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</si>
  <si>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</si>
  <si>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</si>
  <si>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</si>
  <si>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</si>
  <si>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</si>
  <si>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</si>
  <si>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</si>
  <si>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</si>
  <si>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</si>
  <si>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</si>
  <si>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</si>
  <si>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</si>
  <si>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</si>
  <si>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</si>
  <si>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</si>
  <si>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</si>
  <si>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</si>
  <si>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</si>
  <si>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</si>
  <si>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</si>
  <si>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</si>
  <si>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</si>
  <si>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</si>
  <si>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</si>
  <si>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</si>
  <si>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</si>
  <si>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</si>
  <si>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</si>
  <si>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</si>
  <si>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</si>
  <si>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</si>
  <si>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</si>
  <si>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</si>
  <si>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</si>
  <si>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</si>
  <si>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</si>
  <si>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</si>
  <si>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</si>
  <si>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</si>
  <si>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</si>
  <si>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</si>
  <si>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</si>
  <si>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</si>
  <si>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</si>
  <si>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</si>
  <si>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</si>
  <si>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</si>
  <si>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</si>
  <si>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</si>
  <si>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</si>
  <si>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</si>
  <si>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</si>
  <si>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</si>
  <si>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</si>
  <si>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</si>
  <si>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</si>
  <si>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</si>
  <si>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</si>
  <si>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</si>
  <si>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</si>
  <si>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</si>
  <si>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</si>
  <si>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</si>
  <si>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</si>
  <si>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</si>
  <si>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</si>
  <si>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</si>
  <si>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</si>
  <si>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</si>
  <si>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</si>
  <si>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</si>
  <si>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</si>
  <si>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</si>
  <si>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</si>
  <si>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</si>
  <si>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</si>
  <si>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</si>
  <si>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</si>
  <si>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</si>
  <si>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</si>
  <si>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</si>
  <si>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</si>
  <si>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</si>
  <si>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</si>
  <si>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</si>
  <si>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</si>
  <si>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</si>
  <si>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</si>
  <si>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</si>
  <si>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</si>
  <si>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</si>
  <si>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</si>
  <si>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</si>
  <si>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</si>
  <si>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</si>
  <si>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</si>
  <si>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</si>
  <si>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</si>
  <si>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</si>
  <si>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</si>
  <si>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</si>
  <si>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</si>
  <si>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</si>
  <si>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</si>
  <si>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</si>
  <si>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</si>
  <si>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</si>
  <si>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</si>
  <si>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</si>
  <si>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</si>
  <si>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</si>
  <si>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</si>
  <si>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</si>
  <si>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</si>
  <si>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</si>
  <si>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</si>
  <si>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</si>
  <si>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</si>
  <si>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</si>
  <si>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</si>
  <si>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</si>
  <si>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</si>
  <si>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</si>
  <si>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</si>
  <si>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</si>
  <si>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</si>
  <si>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</si>
  <si>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</si>
  <si>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</si>
  <si>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</si>
  <si>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</si>
  <si>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</si>
  <si>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</si>
  <si>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</si>
  <si>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</si>
  <si>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</si>
  <si>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</si>
  <si>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</si>
  <si>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</si>
  <si>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</si>
  <si>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</si>
  <si>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</si>
  <si>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</si>
  <si>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</si>
  <si>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</si>
  <si>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</si>
  <si>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</si>
  <si>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</si>
  <si>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</si>
  <si>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</si>
  <si>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</si>
  <si>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</si>
  <si>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</si>
  <si>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</si>
  <si>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</si>
  <si>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</si>
  <si>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</si>
  <si>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</si>
  <si>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</si>
  <si>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</si>
  <si>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</si>
  <si>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</si>
  <si>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</si>
  <si>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</si>
  <si>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</si>
  <si>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</si>
  <si>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</si>
  <si>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</si>
  <si>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</si>
  <si>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</si>
  <si>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</si>
  <si>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</si>
  <si>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</si>
  <si>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</si>
  <si>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</si>
  <si>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</si>
  <si>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</si>
  <si>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</si>
  <si>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</si>
  <si>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</si>
  <si>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</si>
  <si>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</si>
  <si>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</si>
  <si>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</si>
  <si>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</si>
  <si>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</si>
  <si>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</si>
  <si>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</si>
  <si>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</si>
  <si>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</si>
  <si>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</si>
  <si>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</si>
  <si>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</si>
  <si>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</si>
  <si>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</si>
  <si>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</si>
  <si>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</si>
  <si>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</si>
  <si>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</si>
  <si>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</si>
  <si>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</si>
  <si>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</si>
  <si>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</si>
  <si>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</si>
  <si>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</si>
  <si>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</si>
  <si>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</si>
  <si>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</si>
  <si>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</si>
  <si>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</si>
  <si>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</si>
  <si>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</si>
  <si>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</si>
  <si>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</si>
  <si>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</si>
  <si>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</si>
  <si>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</si>
  <si>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</si>
  <si>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</si>
  <si>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</si>
  <si>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</si>
  <si>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</si>
  <si>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</si>
  <si>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</si>
  <si>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</si>
  <si>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</si>
  <si>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</si>
  <si>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</si>
  <si>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</si>
  <si>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</si>
  <si>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</si>
  <si>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</si>
  <si>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</si>
  <si>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</si>
  <si>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</si>
  <si>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</si>
  <si>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</si>
  <si>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</si>
  <si>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</si>
  <si>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</si>
  <si>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</si>
  <si>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</si>
  <si>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</si>
  <si>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</si>
  <si>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</si>
  <si>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</si>
  <si>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</si>
  <si>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</si>
  <si>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</si>
  <si>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</si>
  <si>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</si>
  <si>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</si>
  <si>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</si>
  <si>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</si>
  <si>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</si>
  <si>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</si>
  <si>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</si>
  <si>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</si>
  <si>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</si>
  <si>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</si>
  <si>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</si>
  <si>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</si>
  <si>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</si>
  <si>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</si>
  <si>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</si>
  <si>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</si>
  <si>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</si>
  <si>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</si>
  <si>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</si>
  <si>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</si>
  <si>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</si>
  <si>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</si>
  <si>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</si>
  <si>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</si>
  <si>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</si>
  <si>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</si>
  <si>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</si>
  <si>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</si>
  <si>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</si>
  <si>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</si>
  <si>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</si>
  <si>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</si>
  <si>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</si>
  <si>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</si>
  <si>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</si>
  <si>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</si>
  <si>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</si>
  <si>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</si>
  <si>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</si>
  <si>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</si>
  <si>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</si>
  <si>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</si>
  <si>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</si>
  <si>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</si>
  <si>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</si>
  <si>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</si>
  <si>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</si>
  <si>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</si>
  <si>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</si>
  <si>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</si>
  <si>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</si>
  <si>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</si>
  <si>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</si>
  <si>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</si>
  <si>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</si>
  <si>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</si>
  <si>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</si>
  <si>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</si>
  <si>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</si>
  <si>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</si>
  <si>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</si>
  <si>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</si>
  <si>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</si>
  <si>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</si>
  <si>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</si>
  <si>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</si>
  <si>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</si>
  <si>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</si>
  <si>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</si>
  <si>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</si>
  <si>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</si>
  <si>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</si>
  <si>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</si>
  <si>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</si>
  <si>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</si>
  <si>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</si>
  <si>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</si>
  <si>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</si>
  <si>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</si>
  <si>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</si>
  <si>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</si>
  <si>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</si>
  <si>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</si>
  <si>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</si>
  <si>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</si>
  <si>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</si>
  <si>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</si>
  <si>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</si>
  <si>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</si>
  <si>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</si>
  <si>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</si>
  <si>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</si>
  <si>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</si>
  <si>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</si>
  <si>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</si>
  <si>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</si>
  <si>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</si>
  <si>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</si>
  <si>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</si>
  <si>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</si>
  <si>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</si>
  <si>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</si>
  <si>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</si>
  <si>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</si>
  <si>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</si>
  <si>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</si>
  <si>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</si>
  <si>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</si>
  <si>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</si>
  <si>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</si>
  <si>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</si>
  <si>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</si>
  <si>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</si>
  <si>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</si>
  <si>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</si>
  <si>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</si>
  <si>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</si>
  <si>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</si>
  <si>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</si>
  <si>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</si>
  <si>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</si>
  <si>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</si>
  <si>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</si>
  <si>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</si>
  <si>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</si>
  <si>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</si>
  <si>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</si>
  <si>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</si>
  <si>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</si>
  <si>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</si>
  <si>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</si>
  <si>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</si>
  <si>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</si>
  <si>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</si>
  <si>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</si>
  <si>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</si>
  <si>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</si>
  <si>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</si>
  <si>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</si>
  <si>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</si>
  <si>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</si>
  <si>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</si>
  <si>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</si>
  <si>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</si>
  <si>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</si>
  <si>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</si>
  <si>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</si>
  <si>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</si>
  <si>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</si>
  <si>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</si>
  <si>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</si>
  <si>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</si>
  <si>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</si>
  <si>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</si>
  <si>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</si>
  <si>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</si>
  <si>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</si>
  <si>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</si>
  <si>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</si>
  <si>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</si>
  <si>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</si>
  <si>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</si>
  <si>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</si>
  <si>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</si>
  <si>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</si>
  <si>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</si>
  <si>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</si>
  <si>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</si>
  <si>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</si>
  <si>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</si>
  <si>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</si>
  <si>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</si>
  <si>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</si>
  <si>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</si>
  <si>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</si>
  <si>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</si>
  <si>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</si>
  <si>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</si>
  <si>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</si>
  <si>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</si>
  <si>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</si>
  <si>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</si>
  <si>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</si>
  <si>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</si>
  <si>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</si>
  <si>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</si>
  <si>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</si>
  <si>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</si>
  <si>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</si>
  <si>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</si>
  <si>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</si>
  <si>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</si>
  <si>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</si>
  <si>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</si>
  <si>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</si>
  <si>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</si>
  <si>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</si>
  <si>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</si>
  <si>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</si>
  <si>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</si>
  <si>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</si>
  <si>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</si>
  <si>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</si>
  <si>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</si>
  <si>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</si>
  <si>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</si>
  <si>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</si>
  <si>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</si>
  <si>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</si>
  <si>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</si>
  <si>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</si>
  <si>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</si>
  <si>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</si>
  <si>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</si>
  <si>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</si>
  <si>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</si>
  <si>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</si>
  <si>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</si>
  <si>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</si>
  <si>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</si>
  <si>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</si>
  <si>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</si>
  <si>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</si>
  <si>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</si>
  <si>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</si>
  <si>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</si>
  <si>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</si>
  <si>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</si>
  <si>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</si>
  <si>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</si>
  <si>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</si>
  <si>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</si>
  <si>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</si>
  <si>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</si>
  <si>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</si>
  <si>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</si>
  <si>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</si>
  <si>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</si>
  <si>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</si>
  <si>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</si>
  <si>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</si>
  <si>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</si>
  <si>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</si>
  <si>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</si>
  <si>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</si>
  <si>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</si>
  <si>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</si>
  <si>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</si>
  <si>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</si>
  <si>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</si>
  <si>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</si>
  <si>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</si>
  <si>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</si>
  <si>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</si>
  <si>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</si>
  <si>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</si>
  <si>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</si>
  <si>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</si>
  <si>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</si>
  <si>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</si>
  <si>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</si>
  <si>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</si>
  <si>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</si>
  <si>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</si>
  <si>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</si>
  <si>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</si>
  <si>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</si>
  <si>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</si>
  <si>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</si>
  <si>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</si>
  <si>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</si>
  <si>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</si>
  <si>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</si>
  <si>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</si>
  <si>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</si>
  <si>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</si>
  <si>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</si>
  <si>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</si>
  <si>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</si>
  <si>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</si>
  <si>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</si>
  <si>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</si>
  <si>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</si>
  <si>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</si>
  <si>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</si>
  <si>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</si>
  <si>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</si>
  <si>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</si>
  <si>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</si>
  <si>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</si>
  <si>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</si>
  <si>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</si>
  <si>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</si>
  <si>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</si>
  <si>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</si>
  <si>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</si>
  <si>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</si>
  <si>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</si>
  <si>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</si>
  <si>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</si>
  <si>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</si>
  <si>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</si>
  <si>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</si>
  <si>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</si>
  <si>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</si>
  <si>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</si>
  <si>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</si>
  <si>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</si>
  <si>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</si>
  <si>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</si>
  <si>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</si>
  <si>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</si>
  <si>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</si>
  <si>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</si>
  <si>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</si>
  <si>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</si>
  <si>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</si>
  <si>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</si>
  <si>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</si>
  <si>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</si>
  <si>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</si>
  <si>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</si>
  <si>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</si>
  <si>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</si>
  <si>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</si>
  <si>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</si>
  <si>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</si>
  <si>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</si>
  <si>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</si>
  <si>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</si>
  <si>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</si>
  <si>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</si>
  <si>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</si>
  <si>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</si>
  <si>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</si>
  <si>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</si>
  <si>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</si>
  <si>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</si>
  <si>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</si>
  <si>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</si>
  <si>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</si>
  <si>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</si>
  <si>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</si>
  <si>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</si>
  <si>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</si>
  <si>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</si>
  <si>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</si>
  <si>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</si>
  <si>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</si>
  <si>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</si>
  <si>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</si>
  <si>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</si>
  <si>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</si>
  <si>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</si>
  <si>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</si>
  <si>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</si>
  <si>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</si>
  <si>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</si>
  <si>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</si>
  <si>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</si>
  <si>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</si>
  <si>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</si>
  <si>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</si>
  <si>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</si>
  <si>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</si>
  <si>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</si>
  <si>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</si>
  <si>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</si>
  <si>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</si>
  <si>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</si>
  <si>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</si>
  <si>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</si>
  <si>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</si>
  <si>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</si>
  <si>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</si>
  <si>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</si>
  <si>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</si>
  <si>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</si>
  <si>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</si>
  <si>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</si>
  <si>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</si>
  <si>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</si>
  <si>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</si>
  <si>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</si>
  <si>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</si>
  <si>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</si>
  <si>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</si>
  <si>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</si>
  <si>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</si>
  <si>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</si>
  <si>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</si>
  <si>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</si>
  <si>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</si>
  <si>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</si>
  <si>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</si>
  <si>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</si>
  <si>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</si>
  <si>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</si>
  <si>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</si>
  <si>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</si>
  <si>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</si>
  <si>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</si>
  <si>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</si>
  <si>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</si>
  <si>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</si>
  <si>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</si>
  <si>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</si>
  <si>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</si>
  <si>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</si>
  <si>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</si>
  <si>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</si>
  <si>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</si>
  <si>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</si>
  <si>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</si>
  <si>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</si>
  <si>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</si>
  <si>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</si>
  <si>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</si>
  <si>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</si>
  <si>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</si>
  <si>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</si>
  <si>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</si>
  <si>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</si>
  <si>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</si>
  <si>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</si>
  <si>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</si>
  <si>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</si>
  <si>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</si>
  <si>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</si>
  <si>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</si>
  <si>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</si>
  <si>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</si>
  <si>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</si>
  <si>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</si>
  <si>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</si>
  <si>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</si>
  <si>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</si>
  <si>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</si>
  <si>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</si>
  <si>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</si>
  <si>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</si>
  <si>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</si>
  <si>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</si>
  <si>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</si>
  <si>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</si>
  <si>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</si>
  <si>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</si>
  <si>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</si>
  <si>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</si>
  <si>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</si>
  <si>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</si>
  <si>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</si>
  <si>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</si>
  <si>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</si>
  <si>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</si>
  <si>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</si>
  <si>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</si>
  <si>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</si>
  <si>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</si>
  <si>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</si>
  <si>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</si>
  <si>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</si>
  <si>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</si>
  <si>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</si>
  <si>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</si>
  <si>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</si>
  <si>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</si>
  <si>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</si>
  <si>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</si>
  <si>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</si>
  <si>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</si>
  <si>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</si>
  <si>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</si>
  <si>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</si>
  <si>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</si>
  <si>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</si>
  <si>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</si>
  <si>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</si>
  <si>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</si>
  <si>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</si>
  <si>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</si>
  <si>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</si>
  <si>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</si>
  <si>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</si>
  <si>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</si>
  <si>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</si>
  <si>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</si>
  <si>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</si>
  <si>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</si>
  <si>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</si>
  <si>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</si>
  <si>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</si>
  <si>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</si>
  <si>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</si>
  <si>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</si>
  <si>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</si>
  <si>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</si>
  <si>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</si>
  <si>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</si>
  <si>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</si>
  <si>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</si>
  <si>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</si>
  <si>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</si>
  <si>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</si>
  <si>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</si>
  <si>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</si>
  <si>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</si>
  <si>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</si>
  <si>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</si>
  <si>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</si>
  <si>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</si>
  <si>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</si>
  <si>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</si>
  <si>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</si>
  <si>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</si>
  <si>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</si>
  <si>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</si>
  <si>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</si>
  <si>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</si>
  <si>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</si>
  <si>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</si>
  <si>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</si>
  <si>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</si>
  <si>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</si>
  <si>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</si>
  <si>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</si>
  <si>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</si>
  <si>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</si>
  <si>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</si>
  <si>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</si>
  <si>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</si>
  <si>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</si>
  <si>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</si>
  <si>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</si>
  <si>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</si>
  <si>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</si>
  <si>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</si>
  <si>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</si>
  <si>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</si>
  <si>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</si>
  <si>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</si>
  <si>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</si>
  <si>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</si>
  <si>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</si>
  <si>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</si>
  <si>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</si>
  <si>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</si>
  <si>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</si>
  <si>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</si>
  <si>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</si>
  <si>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</si>
  <si>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</si>
  <si>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</si>
  <si>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</si>
  <si>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</si>
  <si>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</si>
  <si>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</si>
  <si>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</si>
  <si>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</si>
  <si>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</si>
  <si>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</si>
  <si>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</si>
  <si>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</si>
  <si>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</si>
  <si>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</si>
  <si>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</si>
  <si>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</si>
  <si>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</si>
  <si>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</si>
  <si>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</si>
  <si>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</si>
  <si>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</si>
  <si>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</si>
  <si>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</si>
  <si>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</si>
  <si>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</si>
  <si>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</si>
  <si>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</si>
  <si>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</si>
  <si>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</si>
  <si>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</si>
  <si>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</si>
  <si>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</si>
  <si>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</si>
  <si>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</si>
  <si>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</si>
  <si>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</si>
  <si>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</si>
  <si>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</si>
  <si>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</si>
  <si>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</si>
  <si>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</si>
  <si>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</si>
  <si>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</si>
  <si>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</si>
  <si>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</si>
  <si>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</si>
  <si>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</si>
  <si>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</si>
  <si>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</si>
  <si>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</si>
  <si>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</si>
  <si>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</si>
  <si>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</si>
  <si>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</si>
  <si>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</si>
  <si>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</si>
  <si>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</si>
  <si>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</si>
  <si>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</si>
  <si>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</si>
  <si>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</si>
  <si>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</si>
  <si>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</si>
  <si>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</si>
  <si>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</si>
  <si>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</si>
  <si>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</si>
  <si>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</si>
  <si>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</si>
  <si>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</si>
  <si>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</si>
  <si>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</si>
  <si>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</si>
  <si>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</si>
  <si>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</si>
  <si>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</si>
  <si>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</si>
  <si>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</si>
  <si>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</si>
  <si>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</si>
  <si>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</si>
  <si>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</si>
  <si>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</si>
  <si>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</si>
  <si>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</si>
  <si>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</si>
  <si>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</si>
  <si>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</si>
  <si>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</si>
  <si>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</si>
  <si>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</si>
  <si>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</si>
  <si>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</si>
  <si>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</si>
  <si>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</si>
  <si>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</si>
  <si>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</si>
  <si>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</si>
  <si>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</si>
  <si>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</si>
  <si>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</si>
  <si>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</si>
  <si>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</si>
  <si>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</si>
  <si>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</si>
  <si>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</si>
  <si>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</si>
  <si>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</si>
  <si>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</si>
  <si>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</si>
  <si>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</si>
  <si>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</si>
  <si>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</si>
  <si>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</si>
  <si>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</si>
  <si>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</si>
  <si>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</si>
  <si>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</si>
  <si>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</si>
  <si>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</si>
  <si>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</si>
  <si>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</si>
  <si>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</si>
  <si>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</si>
  <si>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</si>
  <si>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</si>
  <si>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</si>
  <si>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</si>
  <si>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</si>
  <si>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</si>
  <si>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</si>
  <si>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</si>
  <si>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</si>
  <si>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</si>
  <si>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</si>
  <si>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</si>
  <si>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</si>
  <si>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</si>
  <si>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</si>
  <si>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</si>
  <si>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</si>
  <si>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</si>
  <si>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</si>
  <si>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</si>
  <si>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</si>
  <si>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</si>
  <si>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</si>
  <si>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</si>
  <si>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</si>
  <si>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</si>
  <si>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</si>
  <si>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</si>
  <si>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</si>
  <si>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</si>
  <si>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</si>
  <si>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</si>
  <si>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</si>
  <si>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</si>
  <si>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</si>
  <si>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</si>
  <si>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</si>
  <si>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</si>
  <si>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</si>
  <si>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</si>
  <si>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</si>
  <si>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</si>
  <si>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</si>
  <si>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</si>
  <si>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</si>
  <si>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</si>
  <si>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</si>
  <si>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</si>
  <si>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</si>
  <si>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</si>
  <si>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</si>
  <si>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</si>
  <si>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</si>
  <si>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</si>
  <si>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</si>
  <si>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</si>
  <si>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</si>
  <si>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</si>
  <si>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</si>
  <si>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</si>
  <si>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</si>
  <si>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</si>
  <si>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</si>
  <si>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</si>
  <si>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</si>
  <si>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</si>
  <si>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</si>
  <si>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</si>
  <si>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</si>
  <si>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</si>
  <si>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</si>
  <si>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</si>
  <si>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</si>
  <si>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</si>
  <si>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</si>
  <si>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</si>
  <si>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</si>
  <si>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</si>
  <si>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</si>
  <si>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</si>
  <si>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</si>
  <si>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</si>
  <si>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</si>
  <si>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</si>
  <si>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</si>
  <si>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</si>
  <si>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</si>
  <si>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</si>
  <si>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</si>
  <si>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</si>
  <si>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</si>
  <si>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</si>
  <si>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</si>
  <si>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</si>
  <si>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</si>
  <si>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</si>
  <si>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</si>
  <si>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</si>
  <si>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</si>
  <si>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</si>
  <si>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</si>
  <si>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</si>
  <si>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</si>
  <si>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</si>
  <si>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</si>
  <si>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</si>
  <si>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</si>
  <si>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</si>
  <si>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</si>
  <si>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</si>
  <si>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</si>
  <si>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</si>
  <si>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</si>
  <si>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</si>
  <si>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</si>
  <si>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</si>
  <si>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</si>
  <si>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</si>
  <si>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</si>
  <si>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</si>
  <si>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</si>
  <si>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</si>
  <si>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</si>
  <si>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</si>
  <si>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</si>
  <si>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</si>
  <si>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</si>
  <si>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</si>
  <si>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</si>
  <si>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</si>
  <si>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</si>
  <si>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</si>
  <si>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</si>
  <si>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</si>
  <si>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</si>
  <si>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</si>
  <si>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</si>
  <si>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</si>
  <si>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</si>
  <si>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</si>
  <si>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</si>
  <si>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</si>
  <si>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</si>
  <si>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</si>
  <si>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</si>
  <si>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</si>
  <si>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</si>
  <si>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</si>
  <si>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</si>
  <si>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</si>
  <si>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</si>
  <si>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</si>
  <si>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</si>
  <si>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</si>
  <si>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</si>
  <si>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</si>
  <si>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</si>
  <si>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</si>
  <si>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</si>
  <si>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</si>
  <si>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</si>
  <si>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</si>
  <si>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</si>
  <si>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</si>
  <si>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</si>
  <si>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</si>
  <si>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</si>
  <si>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</si>
  <si>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</si>
  <si>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</si>
  <si>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</si>
  <si>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</si>
  <si>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</si>
  <si>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</si>
  <si>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</si>
  <si>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</si>
  <si>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</si>
  <si>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</si>
  <si>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</si>
  <si>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</si>
  <si>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</si>
  <si>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</si>
  <si>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</si>
  <si>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</si>
  <si>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</si>
  <si>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</si>
  <si>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</si>
  <si>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</si>
  <si>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</si>
  <si>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</si>
  <si>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</si>
  <si>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</si>
  <si>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</si>
  <si>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</si>
  <si>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</si>
  <si>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</si>
  <si>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</si>
  <si>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</si>
  <si>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</si>
  <si>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</si>
  <si>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</si>
  <si>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</si>
  <si>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</si>
  <si>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</si>
  <si>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</si>
  <si>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</si>
  <si>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</si>
  <si>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</si>
  <si>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</si>
  <si>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</si>
  <si>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</si>
  <si>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</si>
  <si>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</si>
  <si>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</si>
  <si>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</si>
  <si>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</si>
  <si>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</si>
  <si>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</si>
  <si>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</si>
  <si>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</si>
  <si>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</si>
  <si>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</si>
  <si>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</si>
  <si>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</si>
  <si>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</si>
  <si>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</si>
  <si>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</si>
  <si>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</si>
  <si>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</si>
  <si>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</si>
  <si>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</si>
  <si>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</si>
  <si>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</si>
  <si>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</si>
  <si>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</si>
  <si>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</si>
  <si>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</si>
  <si>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</si>
  <si>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</si>
  <si>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</si>
  <si>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</si>
  <si>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</si>
  <si>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</si>
  <si>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</si>
  <si>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</si>
  <si>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</si>
  <si>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</si>
  <si>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</si>
  <si>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</si>
  <si>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</si>
  <si>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</si>
  <si>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</si>
  <si>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</si>
  <si>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</si>
  <si>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</si>
  <si>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</si>
  <si>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</si>
  <si>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</si>
  <si>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</si>
  <si>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</si>
  <si>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</si>
  <si>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</si>
  <si>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</si>
  <si>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</si>
  <si>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</si>
  <si>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</si>
  <si>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</si>
  <si>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</si>
  <si>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</si>
  <si>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</si>
  <si>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</si>
  <si>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</si>
  <si>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</si>
  <si>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</si>
  <si>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</si>
  <si>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</si>
  <si>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</si>
  <si>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</si>
  <si>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</si>
  <si>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</si>
  <si>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</si>
  <si>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</si>
  <si>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</si>
  <si>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</si>
  <si>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</si>
  <si>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</si>
  <si>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</si>
  <si>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</si>
  <si>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</si>
  <si>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</si>
  <si>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</si>
  <si>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</si>
  <si>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</si>
  <si>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</si>
  <si>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</si>
  <si>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</si>
  <si>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</si>
  <si>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</si>
  <si>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</si>
  <si>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</si>
  <si>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</si>
  <si>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</si>
  <si>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</si>
  <si>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</si>
  <si>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</si>
  <si>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</si>
  <si>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</si>
  <si>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</si>
  <si>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</si>
  <si>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</si>
  <si>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</si>
  <si>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</si>
  <si>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</si>
  <si>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</si>
  <si>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</si>
  <si>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</si>
  <si>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</si>
  <si>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</si>
  <si>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</si>
  <si>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</si>
  <si>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</si>
  <si>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</si>
  <si>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</si>
  <si>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</si>
  <si>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</si>
  <si>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</si>
  <si>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</si>
  <si>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</si>
  <si>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</si>
  <si>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</si>
  <si>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</si>
  <si>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</si>
  <si>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</si>
  <si>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</si>
  <si>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</si>
  <si>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</si>
  <si>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</si>
  <si>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</si>
  <si>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</si>
  <si>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</si>
  <si>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</si>
  <si>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</si>
  <si>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</si>
  <si>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</si>
  <si>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</si>
  <si>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</si>
  <si>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</si>
  <si>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</si>
  <si>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</si>
  <si>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</si>
  <si>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</si>
  <si>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</si>
  <si>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</si>
  <si>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</si>
  <si>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</si>
  <si>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</si>
  <si>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</si>
  <si>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</si>
  <si>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</si>
  <si>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</si>
  <si>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</si>
  <si>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</si>
  <si>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</si>
  <si>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</si>
  <si>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</si>
  <si>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</si>
  <si>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</si>
  <si>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</si>
  <si>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</si>
  <si>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</si>
  <si>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</si>
  <si>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</si>
  <si>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</si>
  <si>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</si>
  <si>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</si>
  <si>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</si>
  <si>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</si>
  <si>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</si>
  <si>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</si>
  <si>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</si>
  <si>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</si>
  <si>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</si>
  <si>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</si>
  <si>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</si>
  <si>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</si>
  <si>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</si>
  <si>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</si>
  <si>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</si>
  <si>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</si>
  <si>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</si>
  <si>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</si>
  <si>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</si>
  <si>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</si>
  <si>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</si>
  <si>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</si>
  <si>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</si>
  <si>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</si>
  <si>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</si>
  <si>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</si>
  <si>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</si>
  <si>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</si>
  <si>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</si>
  <si>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</si>
  <si>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</si>
  <si>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</si>
  <si>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</si>
  <si>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</si>
  <si>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</si>
  <si>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</si>
  <si>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</si>
  <si>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</si>
  <si>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</si>
  <si>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</si>
  <si>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</si>
  <si>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</si>
  <si>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</si>
  <si>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</si>
  <si>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</si>
  <si>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</si>
  <si>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</si>
  <si>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</si>
  <si>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</si>
  <si>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</si>
  <si>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</si>
  <si>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</si>
  <si>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</si>
  <si>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</si>
  <si>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</si>
  <si>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</si>
  <si>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</si>
  <si>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</si>
  <si>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</si>
  <si>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</si>
  <si>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</si>
  <si>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</si>
  <si>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</si>
  <si>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</si>
  <si>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</si>
  <si>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</si>
  <si>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</si>
  <si>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</si>
  <si>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</si>
  <si>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</si>
  <si>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</si>
  <si>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</si>
  <si>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</si>
  <si>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</si>
  <si>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</si>
  <si>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</si>
  <si>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</si>
  <si>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</si>
  <si>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</si>
  <si>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</si>
  <si>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</si>
  <si>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</si>
  <si>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</si>
  <si>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</si>
  <si>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</si>
  <si>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</si>
  <si>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</si>
  <si>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</si>
  <si>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</si>
  <si>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</si>
  <si>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</si>
  <si>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</si>
  <si>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</si>
  <si>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</si>
  <si>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</si>
  <si>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</si>
  <si>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</si>
  <si>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</si>
  <si>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</si>
  <si>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</si>
  <si>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</si>
  <si>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</si>
  <si>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</si>
  <si>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</si>
  <si>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</si>
  <si>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</si>
  <si>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</si>
  <si>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</si>
  <si>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</si>
  <si>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</si>
  <si>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</si>
  <si>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</si>
  <si>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</si>
  <si>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</si>
  <si>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</si>
  <si>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</si>
  <si>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</si>
  <si>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</si>
  <si>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</si>
  <si>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</si>
  <si>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</si>
  <si>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</si>
  <si>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</si>
  <si>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</si>
  <si>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</si>
  <si>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</si>
  <si>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</si>
  <si>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</si>
  <si>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</si>
  <si>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</si>
  <si>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</si>
  <si>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</si>
  <si>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</si>
  <si>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</si>
  <si>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</si>
  <si>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</si>
  <si>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</si>
  <si>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</si>
  <si>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</si>
  <si>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</si>
  <si>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</si>
  <si>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</si>
  <si>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</si>
  <si>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</si>
  <si>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</si>
  <si>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</si>
  <si>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</si>
  <si>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</si>
  <si>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</si>
  <si>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</si>
  <si>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</si>
  <si>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</si>
  <si>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</si>
  <si>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</si>
  <si>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</si>
  <si>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</si>
  <si>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</si>
  <si>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</si>
  <si>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</si>
  <si>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</si>
  <si>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</si>
  <si>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</si>
  <si>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</si>
  <si>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</si>
  <si>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</si>
  <si>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</si>
  <si>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</si>
  <si>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</si>
  <si>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</si>
  <si>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</si>
  <si>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</si>
  <si>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</si>
  <si>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</si>
  <si>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</si>
  <si>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</si>
  <si>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</si>
  <si>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</si>
  <si>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</si>
  <si>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</si>
  <si>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</si>
  <si>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</si>
  <si>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</si>
  <si>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</si>
  <si>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</si>
  <si>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</si>
  <si>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</si>
  <si>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</si>
  <si>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</si>
  <si>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</si>
  <si>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</si>
  <si>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</si>
  <si>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</si>
  <si>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</si>
  <si>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</si>
  <si>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</si>
  <si>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</si>
  <si>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</si>
  <si>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</si>
  <si>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</si>
  <si>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</si>
  <si>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</si>
  <si>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</si>
  <si>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</si>
  <si>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</si>
  <si>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</si>
  <si>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</si>
  <si>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</si>
  <si>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</si>
  <si>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</si>
  <si>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</si>
  <si>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</si>
  <si>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</si>
  <si>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</si>
  <si>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</si>
  <si>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</si>
  <si>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</si>
  <si>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</si>
  <si>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</si>
  <si>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</si>
  <si>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</si>
  <si>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</si>
  <si>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</si>
  <si>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</si>
  <si>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</si>
  <si>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</si>
  <si>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</si>
  <si>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</si>
  <si>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</si>
  <si>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</si>
  <si>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</si>
  <si>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</si>
  <si>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</si>
  <si>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</si>
  <si>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</si>
  <si>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</si>
  <si>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</si>
  <si>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</si>
  <si>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</si>
  <si>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</si>
  <si>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</si>
  <si>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</si>
  <si>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</si>
  <si>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</si>
  <si>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</si>
  <si>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</si>
  <si>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</si>
  <si>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</si>
  <si>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</si>
  <si>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</si>
  <si>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</si>
  <si>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</si>
  <si>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</si>
  <si>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</si>
  <si>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</si>
  <si>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</si>
  <si>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</si>
  <si>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</si>
  <si>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</si>
  <si>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</si>
  <si>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</si>
  <si>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</si>
  <si>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</si>
  <si>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</si>
  <si>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</si>
  <si>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</si>
  <si>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</si>
  <si>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</si>
  <si>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</si>
  <si>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</si>
  <si>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</si>
  <si>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</si>
  <si>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</si>
  <si>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</si>
  <si>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</si>
  <si>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</si>
  <si>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</si>
  <si>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</si>
  <si>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</si>
  <si>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</si>
  <si>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</si>
  <si>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</si>
  <si>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</si>
  <si>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</si>
  <si>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</si>
  <si>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</si>
  <si>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</si>
  <si>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</si>
  <si>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</si>
  <si>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</si>
  <si>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</si>
  <si>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</si>
  <si>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</si>
  <si>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</si>
  <si>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</si>
  <si>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</si>
  <si>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</si>
  <si>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</si>
  <si>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</si>
  <si>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</si>
  <si>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</si>
  <si>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</si>
  <si>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</si>
  <si>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</si>
  <si>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</si>
  <si>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</si>
  <si>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</si>
  <si>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</si>
  <si>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</si>
  <si>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</si>
  <si>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</si>
  <si>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</si>
  <si>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</si>
  <si>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</si>
  <si>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</si>
  <si>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</si>
  <si>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</si>
  <si>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</si>
  <si>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</si>
  <si>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</si>
  <si>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</si>
  <si>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</si>
  <si>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</si>
  <si>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</si>
  <si>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</si>
  <si>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</si>
  <si>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</si>
  <si>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</si>
  <si>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</si>
  <si>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</si>
  <si>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</si>
  <si>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</si>
  <si>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</si>
  <si>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</si>
  <si>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</si>
  <si>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</si>
  <si>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</si>
  <si>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</si>
  <si>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</si>
  <si>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</si>
  <si>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</si>
  <si>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</si>
  <si>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</si>
  <si>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</si>
  <si>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</si>
  <si>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</si>
  <si>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</si>
  <si>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</si>
  <si>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</si>
  <si>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</si>
  <si>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</si>
  <si>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</si>
  <si>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</si>
  <si>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</si>
  <si>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</si>
  <si>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</si>
  <si>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</si>
  <si>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</si>
  <si>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</si>
  <si>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</si>
  <si>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</si>
  <si>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</si>
  <si>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</si>
  <si>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</si>
  <si>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</si>
  <si>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</si>
  <si>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</si>
  <si>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</si>
  <si>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</si>
  <si>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</si>
  <si>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</si>
  <si>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</si>
  <si>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</si>
  <si>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</si>
  <si>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</si>
  <si>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</si>
  <si>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</si>
  <si>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</si>
  <si>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</si>
  <si>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</si>
  <si>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</si>
  <si>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</si>
  <si>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</si>
  <si>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</si>
  <si>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</si>
  <si>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</si>
  <si>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</si>
  <si>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</si>
  <si>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</si>
  <si>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</si>
  <si>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</si>
  <si>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</si>
  <si>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</si>
  <si>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</si>
  <si>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</si>
  <si>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</si>
  <si>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</si>
  <si>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</si>
  <si>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</si>
  <si>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</si>
  <si>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</si>
  <si>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</si>
  <si>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</si>
  <si>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</si>
  <si>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</si>
  <si>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</si>
  <si>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</si>
  <si>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</si>
  <si>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</si>
  <si>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</si>
  <si>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</si>
  <si>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</si>
  <si>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</si>
  <si>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</si>
  <si>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</si>
  <si>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</si>
  <si>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</si>
  <si>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</si>
  <si>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</si>
  <si>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</si>
  <si>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</si>
  <si>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</si>
  <si>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</si>
  <si>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</si>
  <si>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</si>
  <si>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</si>
  <si>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</si>
  <si>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</si>
  <si>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</si>
  <si>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</si>
  <si>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</si>
  <si>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</si>
  <si>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</si>
  <si>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</si>
  <si>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</si>
  <si>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</si>
  <si>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</si>
  <si>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</si>
  <si>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</si>
  <si>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</si>
  <si>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</si>
  <si>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</si>
  <si>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</si>
  <si>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</si>
  <si>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</si>
  <si>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</si>
  <si>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</si>
  <si>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</si>
  <si>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</si>
  <si>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</si>
  <si>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</si>
  <si>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</si>
  <si>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</si>
  <si>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</si>
  <si>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</si>
  <si>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</si>
  <si>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</si>
  <si>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</si>
  <si>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</si>
  <si>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</si>
  <si>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</si>
  <si>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</si>
  <si>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</si>
  <si>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</si>
  <si>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</si>
  <si>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</si>
  <si>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</si>
  <si>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</si>
  <si>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</si>
  <si>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</si>
  <si>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</si>
  <si>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</si>
  <si>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</si>
  <si>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</si>
  <si>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</si>
  <si>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</si>
  <si>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</si>
  <si>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</si>
  <si>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</si>
  <si>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</si>
  <si>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</si>
  <si>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</si>
  <si>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</si>
  <si>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</si>
  <si>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</si>
  <si>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</si>
  <si>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</si>
  <si>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</si>
  <si>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</si>
  <si>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</si>
  <si>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</si>
  <si>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</si>
  <si>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</si>
  <si>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</si>
  <si>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</si>
  <si>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</si>
  <si>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</si>
  <si>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</si>
  <si>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</si>
  <si>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</si>
  <si>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</si>
  <si>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</si>
  <si>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</si>
  <si>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</si>
  <si>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</si>
  <si>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</si>
  <si>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</si>
  <si>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</si>
  <si>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</si>
  <si>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</si>
  <si>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</si>
  <si>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</si>
  <si>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</si>
  <si>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</si>
  <si>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</si>
  <si>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</si>
  <si>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</si>
  <si>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</si>
  <si>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</si>
  <si>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</si>
  <si>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</si>
  <si>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</si>
  <si>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</si>
  <si>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</si>
  <si>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</si>
  <si>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</si>
  <si>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</si>
  <si>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</si>
  <si>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</si>
  <si>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</si>
  <si>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</si>
  <si>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</si>
  <si>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</si>
  <si>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</si>
  <si>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</si>
  <si>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</si>
  <si>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</si>
  <si>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</si>
  <si>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</si>
  <si>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</si>
  <si>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</si>
  <si>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</si>
  <si>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</si>
  <si>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</si>
  <si>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</si>
  <si>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</si>
  <si>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</si>
  <si>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</si>
  <si>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</si>
  <si>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</si>
  <si>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</si>
  <si>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</si>
  <si>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</si>
  <si>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</si>
  <si>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</si>
  <si>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</si>
  <si>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</si>
  <si>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</si>
  <si>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</si>
  <si>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</si>
  <si>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</si>
  <si>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</si>
  <si>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</si>
  <si>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</si>
  <si>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</si>
  <si>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</si>
  <si>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</si>
  <si>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</si>
  <si>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</si>
  <si>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</si>
  <si>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</si>
  <si>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</si>
  <si>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</si>
  <si>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</si>
  <si>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</si>
  <si>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</si>
  <si>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</si>
  <si>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</si>
  <si>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</si>
  <si>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</si>
  <si>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</si>
  <si>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</si>
  <si>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</si>
  <si>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</si>
  <si>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</si>
  <si>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</si>
  <si>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</si>
  <si>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</si>
  <si>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</si>
  <si>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</si>
  <si>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</si>
  <si>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</si>
  <si>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</si>
  <si>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</si>
  <si>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</si>
  <si>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</si>
  <si>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</si>
  <si>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</si>
  <si>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</si>
  <si>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</si>
  <si>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</si>
  <si>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</si>
  <si>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</si>
  <si>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</si>
  <si>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</si>
  <si>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</si>
  <si>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</si>
  <si>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</si>
  <si>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</si>
  <si>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</si>
  <si>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</si>
  <si>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</si>
  <si>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</si>
  <si>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</si>
  <si>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</si>
  <si>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</si>
  <si>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</si>
  <si>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</si>
  <si>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</si>
  <si>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</si>
  <si>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</si>
  <si>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</si>
  <si>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</si>
  <si>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</si>
  <si>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</si>
  <si>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</si>
  <si>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</si>
  <si>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</si>
  <si>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</si>
  <si>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</si>
  <si>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</si>
  <si>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</si>
  <si>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</si>
  <si>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</si>
  <si>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</si>
  <si>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</si>
  <si>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</si>
  <si>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</si>
  <si>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</si>
  <si>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</si>
  <si>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</si>
  <si>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</si>
  <si>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</si>
  <si>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</si>
  <si>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</si>
  <si>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</si>
  <si>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</si>
  <si>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</si>
  <si>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</si>
  <si>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</si>
  <si>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</si>
  <si>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</si>
  <si>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</si>
  <si>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</si>
  <si>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</si>
  <si>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</si>
  <si>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</si>
  <si>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</si>
  <si>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</si>
  <si>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</si>
  <si>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</si>
  <si>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</si>
  <si>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</si>
  <si>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</si>
  <si>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</si>
  <si>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</si>
  <si>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</si>
  <si>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</si>
  <si>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</si>
  <si>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</si>
  <si>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</si>
  <si>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</si>
  <si>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</si>
  <si>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</si>
  <si>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</si>
  <si>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</si>
  <si>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</si>
  <si>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</si>
  <si>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</si>
  <si>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</si>
  <si>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</si>
  <si>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</si>
  <si>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</si>
  <si>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</si>
  <si>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</si>
  <si>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</si>
  <si>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</si>
  <si>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</si>
  <si>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</si>
  <si>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</si>
  <si>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</si>
  <si>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</si>
  <si>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</si>
  <si>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</si>
  <si>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</si>
  <si>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</si>
  <si>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</si>
  <si>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</si>
  <si>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</si>
  <si>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</si>
  <si>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</si>
  <si>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</si>
  <si>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</si>
  <si>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</si>
  <si>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</si>
  <si>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</si>
  <si>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</si>
  <si>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</si>
  <si>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</si>
  <si>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</si>
  <si>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</si>
  <si>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</si>
  <si>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</si>
  <si>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</si>
  <si>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</si>
  <si>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</si>
  <si>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</si>
  <si>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</si>
  <si>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</si>
  <si>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</si>
  <si>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</si>
  <si>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</si>
  <si>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</si>
  <si>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</si>
  <si>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</si>
  <si>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</si>
  <si>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</si>
  <si>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</si>
  <si>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</si>
  <si>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</si>
  <si>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</si>
  <si>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</si>
  <si>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</si>
  <si>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</si>
  <si>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</si>
  <si>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</si>
  <si>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</si>
  <si>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</si>
  <si>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</si>
  <si>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</si>
  <si>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</si>
  <si>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</si>
  <si>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</si>
  <si>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</si>
  <si>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</si>
  <si>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</si>
  <si>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</si>
  <si>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</si>
  <si>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</si>
  <si>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</si>
  <si>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</si>
  <si>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</si>
  <si>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</si>
  <si>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</si>
  <si>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</si>
  <si>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</si>
  <si>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</si>
  <si>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</si>
  <si>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</si>
  <si>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</si>
  <si>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</si>
  <si>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</si>
  <si>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</si>
  <si>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</si>
  <si>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</si>
  <si>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</si>
  <si>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</si>
  <si>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</si>
  <si>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</si>
  <si>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</si>
  <si>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</si>
  <si>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</si>
  <si>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</si>
  <si>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</si>
  <si>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</si>
  <si>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</si>
  <si>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</si>
  <si>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</si>
  <si>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</si>
  <si>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</si>
  <si>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</si>
  <si>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</si>
  <si>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</si>
  <si>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</si>
  <si>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</si>
  <si>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</si>
  <si>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</si>
  <si>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</si>
  <si>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</si>
  <si>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</si>
  <si>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</si>
  <si>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</si>
  <si>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</si>
  <si>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</si>
  <si>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</si>
  <si>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</si>
  <si>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</si>
  <si>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</si>
  <si>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</si>
  <si>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</si>
  <si>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</si>
  <si>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</si>
  <si>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</si>
  <si>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</si>
  <si>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</si>
  <si>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</si>
  <si>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</si>
  <si>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</si>
  <si>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</si>
  <si>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</si>
  <si>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</si>
  <si>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</si>
  <si>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</si>
  <si>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</si>
  <si>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</si>
  <si>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</si>
  <si>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</si>
  <si>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</si>
  <si>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</si>
  <si>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</si>
  <si>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</si>
  <si>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</si>
  <si>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</si>
  <si>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</si>
  <si>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</si>
  <si>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</si>
  <si>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</si>
  <si>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</si>
  <si>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</si>
  <si>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</si>
  <si>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</si>
  <si>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</si>
  <si>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</si>
  <si>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</si>
  <si>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</si>
  <si>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</si>
  <si>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</si>
  <si>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</si>
  <si>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</si>
  <si>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</si>
  <si>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</si>
  <si>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</si>
  <si>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</si>
  <si>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</si>
  <si>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</si>
  <si>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</si>
  <si>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</si>
  <si>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</si>
  <si>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</si>
  <si>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</si>
  <si>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</si>
  <si>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</si>
  <si>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</si>
  <si>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</si>
  <si>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</si>
  <si>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</si>
  <si>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</si>
  <si>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</si>
  <si>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</si>
  <si>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</si>
  <si>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</si>
  <si>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</si>
  <si>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</si>
  <si>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</si>
  <si>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</si>
  <si>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</si>
  <si>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</si>
  <si>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</si>
  <si>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</si>
  <si>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</si>
  <si>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</si>
  <si>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</si>
  <si>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</si>
  <si>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</si>
  <si>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</si>
  <si>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</si>
  <si>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</si>
  <si>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</si>
  <si>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</si>
  <si>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</si>
  <si>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</si>
  <si>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</si>
  <si>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</si>
  <si>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</si>
  <si>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</si>
  <si>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</si>
  <si>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</si>
  <si>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</si>
  <si>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</si>
  <si>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</si>
  <si>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</si>
  <si>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</si>
  <si>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</si>
  <si>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</si>
  <si>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</si>
  <si>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</si>
  <si>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</si>
  <si>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</si>
  <si>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</si>
  <si>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</si>
  <si>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</si>
  <si>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</si>
  <si>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</si>
  <si>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</si>
  <si>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</si>
  <si>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</si>
  <si>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</si>
  <si>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</si>
  <si>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</si>
  <si>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</si>
  <si>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</si>
  <si>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</si>
  <si>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</si>
  <si>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</si>
  <si>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</si>
  <si>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</si>
  <si>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</si>
  <si>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</si>
  <si>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</si>
  <si>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</si>
  <si>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</si>
  <si>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</si>
  <si>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</si>
  <si>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</si>
  <si>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</si>
  <si>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</si>
  <si>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</si>
  <si>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</si>
  <si>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</si>
  <si>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</si>
  <si>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</si>
  <si>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</si>
  <si>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</si>
  <si>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</si>
  <si>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</si>
  <si>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</si>
  <si>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</si>
  <si>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</si>
  <si>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</si>
  <si>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</si>
  <si>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</si>
  <si>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</si>
  <si>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</si>
  <si>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</si>
  <si>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</si>
  <si>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</si>
  <si>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</si>
  <si>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</si>
  <si>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</si>
  <si>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</si>
  <si>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</si>
  <si>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</si>
  <si>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</si>
  <si>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</si>
  <si>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</si>
  <si>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</si>
  <si>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</si>
  <si>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</si>
  <si>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</si>
  <si>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</si>
  <si>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</si>
  <si>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</si>
  <si>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</si>
  <si>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</si>
  <si>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</si>
  <si>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</si>
  <si>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</si>
  <si>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</si>
  <si>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</si>
  <si>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</si>
  <si>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</si>
  <si>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</si>
  <si>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</si>
  <si>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</si>
  <si>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</si>
  <si>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</si>
  <si>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</si>
  <si>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</si>
  <si>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</si>
  <si>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</si>
  <si>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</si>
  <si>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</si>
  <si>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</si>
  <si>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</si>
  <si>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</si>
  <si>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</si>
  <si>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</si>
  <si>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</si>
  <si>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</si>
  <si>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</si>
  <si>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</si>
  <si>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</si>
  <si>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</si>
  <si>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</si>
  <si>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</si>
  <si>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</si>
  <si>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</si>
  <si>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</si>
  <si>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</si>
  <si>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</si>
  <si>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</si>
  <si>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</si>
  <si>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</si>
  <si>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</si>
  <si>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</si>
  <si>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</si>
  <si>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</si>
  <si>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</si>
  <si>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</si>
  <si>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</si>
  <si>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</si>
  <si>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</si>
  <si>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</si>
  <si>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</si>
  <si>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</si>
  <si>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</si>
  <si>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</si>
  <si>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</si>
  <si>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</si>
  <si>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</si>
  <si>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</si>
  <si>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</si>
  <si>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</si>
  <si>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</si>
  <si>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</si>
  <si>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</si>
  <si>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</si>
  <si>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</si>
  <si>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</si>
  <si>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</si>
  <si>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</si>
  <si>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</si>
  <si>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</si>
  <si>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</si>
  <si>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</si>
  <si>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</si>
  <si>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</si>
  <si>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</si>
  <si>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</si>
  <si>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</si>
  <si>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</si>
  <si>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</si>
  <si>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</si>
  <si>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</si>
  <si>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</si>
  <si>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</si>
  <si>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</si>
  <si>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</si>
  <si>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</si>
  <si>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</si>
  <si>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</si>
  <si>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</si>
  <si>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</si>
  <si>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</si>
  <si>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</si>
  <si>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</si>
  <si>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</si>
  <si>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</si>
  <si>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</si>
  <si>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</si>
  <si>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</si>
  <si>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</si>
  <si>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</si>
  <si>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</si>
  <si>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</si>
  <si>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</si>
  <si>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</si>
  <si>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</si>
  <si>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</si>
  <si>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</si>
  <si>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</si>
  <si>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</si>
  <si>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</si>
  <si>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</si>
  <si>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</si>
  <si>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</si>
  <si>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</si>
  <si>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</si>
  <si>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</si>
  <si>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</si>
  <si>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</si>
  <si>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</si>
  <si>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</si>
  <si>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</si>
  <si>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</si>
  <si>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</si>
  <si>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</si>
  <si>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</si>
  <si>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</si>
  <si>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</si>
  <si>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</si>
  <si>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</si>
  <si>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</si>
  <si>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</si>
  <si>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</si>
  <si>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</si>
  <si>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</si>
  <si>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</si>
  <si>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</si>
  <si>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</si>
  <si>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</si>
  <si>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</si>
  <si>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</si>
  <si>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</si>
  <si>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</si>
  <si>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</si>
  <si>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</si>
  <si>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</si>
  <si>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</si>
  <si>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</si>
  <si>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</si>
  <si>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</si>
  <si>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</si>
  <si>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</si>
  <si>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</si>
  <si>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</si>
  <si>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</si>
  <si>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</si>
  <si>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</si>
  <si>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</si>
  <si>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</si>
  <si>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</si>
  <si>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</si>
  <si>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</si>
  <si>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</si>
  <si>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</si>
  <si>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</si>
  <si>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</si>
  <si>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</si>
  <si>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</si>
  <si>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</si>
  <si>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</si>
  <si>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</si>
  <si>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</si>
  <si>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</si>
  <si>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</si>
  <si>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</si>
  <si>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</si>
  <si>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</si>
  <si>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</si>
  <si>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</si>
  <si>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</si>
  <si>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</si>
  <si>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</si>
  <si>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</si>
  <si>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</si>
  <si>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</si>
  <si>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</si>
  <si>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</si>
  <si>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</si>
  <si>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</si>
  <si>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</si>
  <si>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</si>
  <si>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</si>
  <si>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</si>
  <si>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</si>
  <si>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</si>
  <si>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</si>
  <si>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</si>
  <si>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</si>
  <si>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</si>
  <si>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</si>
  <si>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</si>
  <si>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</si>
  <si>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</si>
  <si>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</si>
  <si>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</si>
  <si>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</si>
  <si>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</si>
  <si>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</si>
  <si>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</si>
  <si>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</si>
  <si>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</si>
  <si>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</si>
  <si>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</si>
  <si>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</si>
  <si>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</si>
  <si>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</si>
  <si>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</si>
  <si>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</si>
  <si>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</si>
  <si>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</si>
  <si>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</si>
  <si>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</si>
  <si>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</si>
  <si>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</si>
  <si>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</si>
  <si>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</si>
  <si>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</si>
  <si>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</si>
  <si>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</si>
  <si>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</si>
  <si>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</si>
  <si>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</si>
  <si>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</si>
  <si>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</si>
  <si>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</si>
  <si>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</si>
  <si>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</si>
  <si>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</si>
  <si>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</si>
  <si>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</si>
  <si>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</si>
  <si>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</si>
  <si>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</si>
  <si>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</si>
  <si>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</si>
  <si>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</si>
  <si>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</si>
  <si>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</si>
  <si>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</si>
  <si>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</si>
  <si>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</si>
  <si>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</si>
  <si>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</si>
  <si>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</si>
  <si>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</si>
  <si>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</si>
  <si>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</si>
  <si>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</si>
  <si>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</si>
  <si>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</si>
  <si>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</si>
  <si>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</si>
  <si>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</si>
  <si>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</si>
  <si>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</si>
  <si>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</si>
  <si>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</si>
  <si>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</si>
  <si>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</si>
  <si>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</si>
  <si>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</si>
  <si>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</si>
  <si>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</si>
  <si>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</si>
  <si>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</si>
  <si>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</si>
  <si>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</si>
  <si>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</si>
  <si>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</si>
  <si>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</si>
  <si>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</si>
  <si>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</si>
  <si>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</si>
  <si>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</si>
  <si>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</si>
  <si>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</si>
  <si>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</si>
  <si>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</si>
  <si>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</si>
  <si>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</si>
  <si>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</si>
  <si>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</si>
  <si>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</si>
  <si>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</si>
  <si>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</si>
  <si>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</si>
  <si>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</si>
  <si>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</si>
  <si>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</si>
  <si>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</si>
  <si>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</si>
  <si>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</si>
  <si>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</si>
  <si>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</si>
  <si>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</si>
  <si>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</si>
  <si>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</si>
  <si>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</si>
  <si>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</si>
  <si>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</si>
  <si>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</si>
  <si>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</si>
  <si>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</si>
  <si>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</si>
  <si>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</si>
  <si>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</si>
  <si>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</si>
  <si>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</si>
  <si>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</si>
  <si>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</si>
  <si>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</si>
  <si>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</si>
  <si>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</si>
  <si>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</si>
  <si>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</si>
  <si>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</si>
  <si>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</si>
  <si>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</si>
  <si>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</si>
  <si>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</si>
  <si>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</si>
  <si>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</si>
  <si>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</si>
  <si>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</si>
  <si>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</si>
  <si>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</si>
  <si>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</si>
  <si>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</si>
  <si>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</si>
  <si>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</si>
  <si>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</si>
  <si>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</si>
  <si>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</si>
  <si>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</si>
  <si>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</si>
  <si>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</si>
  <si>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</si>
  <si>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</si>
  <si>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</si>
  <si>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</si>
  <si>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</si>
  <si>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</si>
  <si>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</si>
  <si>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</si>
  <si>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</si>
  <si>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</si>
  <si>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</si>
  <si>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</si>
  <si>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</si>
  <si>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</si>
  <si>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</si>
  <si>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</si>
  <si>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</si>
  <si>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</si>
  <si>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</si>
  <si>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</si>
  <si>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</si>
  <si>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</si>
  <si>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</si>
  <si>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</si>
  <si>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</si>
  <si>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</si>
  <si>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</si>
  <si>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</si>
  <si>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</si>
  <si>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</si>
  <si>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</si>
  <si>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</si>
  <si>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</si>
  <si>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</si>
  <si>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</si>
  <si>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</si>
  <si>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</si>
  <si>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</si>
  <si>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</si>
  <si>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</si>
  <si>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</si>
  <si>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</si>
  <si>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</si>
  <si>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</si>
  <si>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</si>
  <si>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</si>
  <si>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</si>
  <si>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</si>
  <si>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</si>
  <si>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</si>
  <si>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</si>
  <si>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</si>
  <si>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</si>
  <si>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</si>
  <si>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</si>
  <si>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</si>
  <si>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</si>
  <si>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</si>
  <si>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</si>
  <si>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</si>
  <si>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</si>
  <si>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</si>
  <si>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</si>
  <si>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</si>
  <si>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</si>
  <si>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</si>
  <si>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</si>
  <si>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</si>
  <si>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</si>
  <si>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</si>
  <si>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</si>
  <si>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</si>
  <si>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</si>
  <si>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</si>
  <si>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</si>
  <si>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</si>
  <si>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</si>
  <si>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</si>
  <si>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</si>
  <si>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</si>
  <si>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</si>
  <si>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</si>
  <si>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</si>
  <si>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</si>
  <si>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</si>
  <si>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</si>
  <si>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</si>
  <si>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</si>
  <si>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</si>
  <si>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</si>
  <si>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</si>
  <si>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</si>
  <si>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</si>
  <si>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</si>
  <si>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</si>
  <si>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</si>
  <si>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</si>
  <si>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</si>
  <si>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</si>
  <si>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</si>
  <si>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</si>
  <si>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</si>
  <si>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</si>
  <si>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</si>
  <si>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</si>
  <si>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</si>
  <si>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</si>
  <si>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</si>
  <si>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</si>
  <si>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</si>
  <si>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</si>
  <si>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</si>
  <si>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</si>
  <si>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</si>
  <si>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</si>
  <si>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</si>
  <si>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</si>
  <si>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</si>
  <si>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</si>
  <si>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</si>
  <si>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</si>
  <si>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</si>
  <si>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</si>
  <si>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</si>
  <si>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</si>
  <si>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</si>
  <si>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</si>
  <si>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</si>
  <si>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</si>
  <si>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</si>
  <si>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</si>
  <si>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</si>
  <si>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</si>
  <si>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</si>
  <si>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</si>
  <si>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</si>
  <si>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</si>
  <si>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</si>
  <si>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</si>
  <si>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</si>
  <si>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</si>
  <si>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</si>
  <si>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</si>
  <si>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</si>
  <si>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</si>
  <si>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</si>
  <si>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</si>
  <si>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</si>
  <si>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</si>
  <si>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</si>
  <si>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</si>
  <si>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</si>
  <si>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</si>
  <si>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</si>
  <si>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</si>
  <si>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</si>
  <si>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</si>
  <si>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</si>
  <si>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</si>
  <si>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</si>
  <si>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</si>
  <si>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</si>
  <si>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</si>
  <si>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</si>
  <si>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</si>
  <si>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</si>
  <si>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</si>
  <si>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</si>
  <si>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</si>
  <si>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</si>
  <si>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</si>
  <si>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</si>
  <si>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</si>
  <si>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</si>
  <si>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</si>
  <si>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</si>
  <si>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</si>
  <si>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</si>
  <si>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</si>
  <si>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</si>
  <si>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</si>
  <si>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</si>
  <si>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</si>
  <si>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</si>
  <si>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</si>
  <si>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</si>
  <si>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</si>
  <si>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</si>
  <si>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</si>
  <si>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</si>
  <si>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</si>
  <si>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</si>
  <si>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</si>
  <si>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</si>
  <si>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</si>
  <si>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</si>
  <si>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</si>
  <si>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</si>
  <si>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</si>
  <si>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</si>
  <si>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</si>
  <si>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</si>
  <si>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</si>
  <si>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</si>
  <si>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</si>
  <si>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</si>
  <si>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</si>
  <si>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</si>
  <si>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</si>
  <si>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</si>
  <si>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</si>
  <si>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</si>
  <si>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</si>
  <si>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</si>
  <si>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</si>
  <si>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</si>
  <si>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</si>
  <si>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</si>
  <si>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</si>
  <si>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</si>
  <si>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</si>
  <si>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</si>
  <si>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</si>
  <si>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</si>
  <si>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</si>
  <si>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</si>
  <si>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</si>
  <si>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</si>
  <si>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</si>
  <si>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</si>
  <si>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</si>
  <si>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</si>
  <si>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</si>
  <si>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</si>
  <si>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</si>
  <si>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</si>
  <si>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</si>
  <si>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</si>
  <si>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</si>
  <si>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</si>
  <si>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</si>
  <si>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</si>
  <si>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</si>
  <si>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</si>
  <si>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</si>
  <si>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</si>
  <si>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</si>
  <si>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</si>
  <si>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</si>
  <si>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</si>
  <si>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</si>
  <si>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</si>
  <si>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</si>
  <si>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</si>
  <si>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</si>
  <si>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</si>
  <si>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</si>
  <si>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</si>
  <si>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</si>
  <si>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</si>
  <si>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</si>
  <si>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</si>
  <si>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</si>
  <si>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</si>
  <si>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</si>
  <si>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</si>
  <si>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</si>
  <si>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</si>
  <si>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</si>
  <si>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</si>
  <si>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</si>
  <si>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</si>
  <si>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</si>
  <si>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</si>
  <si>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</si>
  <si>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</si>
  <si>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</si>
  <si>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</si>
  <si>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</si>
  <si>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</si>
  <si>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</si>
  <si>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</si>
  <si>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</si>
  <si>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</si>
  <si>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</si>
  <si>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</si>
  <si>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</si>
  <si>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</si>
  <si>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</si>
  <si>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</si>
  <si>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</si>
  <si>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</si>
  <si>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</si>
  <si>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</si>
  <si>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</si>
  <si>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</si>
  <si>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</si>
  <si>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</si>
  <si>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</si>
  <si>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</si>
  <si>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</si>
  <si>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</si>
  <si>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</si>
  <si>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</si>
  <si>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</si>
  <si>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</si>
  <si>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</si>
  <si>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</si>
  <si>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</si>
  <si>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</si>
  <si>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</si>
  <si>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</si>
  <si>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</si>
  <si>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</si>
  <si>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</si>
  <si>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</si>
  <si>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</si>
  <si>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</si>
  <si>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</si>
  <si>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</si>
  <si>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</si>
  <si>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</si>
  <si>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</si>
  <si>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</si>
  <si>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</si>
  <si>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</si>
  <si>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</si>
  <si>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</si>
  <si>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</si>
  <si>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</si>
  <si>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</si>
  <si>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</si>
  <si>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</si>
  <si>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</si>
  <si>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</si>
  <si>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</si>
  <si>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</si>
  <si>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</si>
  <si>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</si>
  <si>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</si>
  <si>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</si>
  <si>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</si>
  <si>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</si>
  <si>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</si>
  <si>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</si>
  <si>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</si>
  <si>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</si>
  <si>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</si>
  <si>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</si>
  <si>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</si>
  <si>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</si>
  <si>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</si>
  <si>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</si>
  <si>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</si>
  <si>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</si>
  <si>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</si>
  <si>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</si>
  <si>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</si>
  <si>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</si>
  <si>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</si>
  <si>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</si>
  <si>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</si>
  <si>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</si>
  <si>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</si>
  <si>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</si>
  <si>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</si>
  <si>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</si>
  <si>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</si>
  <si>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</si>
  <si>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</si>
  <si>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</si>
  <si>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</si>
  <si>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</si>
  <si>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</si>
  <si>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</si>
  <si>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</si>
  <si>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</si>
  <si>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</si>
  <si>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</si>
  <si>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</si>
  <si>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</si>
  <si>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</si>
  <si>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</si>
  <si>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</si>
  <si>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</si>
  <si>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</si>
  <si>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</si>
  <si>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</si>
  <si>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</si>
  <si>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</si>
  <si>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</si>
  <si>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</si>
  <si>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</si>
  <si>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</si>
  <si>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</si>
  <si>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</si>
  <si>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</si>
  <si>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</si>
  <si>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</si>
  <si>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</si>
  <si>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</si>
  <si>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</si>
  <si>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</si>
  <si>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</si>
  <si>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</si>
  <si>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</si>
  <si>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</si>
  <si>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</si>
  <si>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</si>
  <si>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</si>
  <si>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</si>
  <si>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</si>
  <si>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</si>
  <si>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</si>
  <si>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</si>
  <si>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</si>
  <si>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</si>
  <si>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</si>
  <si>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</si>
  <si>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</si>
  <si>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</si>
  <si>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</si>
  <si>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</si>
  <si>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</si>
  <si>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</si>
  <si>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</si>
  <si>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</si>
  <si>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</si>
  <si>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</si>
  <si>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</si>
  <si>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</si>
  <si>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</si>
  <si>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</si>
  <si>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</si>
  <si>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</si>
  <si>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</si>
  <si>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</si>
  <si>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</si>
  <si>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</si>
  <si>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</si>
  <si>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</si>
  <si>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</si>
  <si>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</si>
  <si>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</si>
  <si>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</si>
  <si>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</si>
  <si>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</si>
  <si>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</si>
  <si>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</si>
  <si>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</si>
  <si>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</si>
  <si>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</si>
  <si>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</si>
  <si>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</si>
  <si>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</si>
  <si>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</si>
  <si>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</si>
  <si>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</si>
  <si>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</si>
  <si>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</si>
  <si>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</si>
  <si>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</si>
  <si>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</si>
  <si>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</si>
  <si>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</si>
  <si>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</si>
  <si>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</si>
  <si>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</si>
  <si>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</si>
  <si>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</si>
  <si>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</si>
  <si>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</si>
  <si>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</si>
  <si>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</si>
  <si>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</si>
  <si>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</si>
  <si>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</si>
  <si>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</si>
  <si>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</si>
  <si>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</si>
  <si>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</si>
  <si>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</si>
  <si>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</si>
  <si>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</si>
  <si>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</si>
  <si>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</si>
  <si>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</si>
  <si>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</si>
  <si>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</si>
  <si>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</si>
  <si>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</si>
  <si>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</si>
  <si>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</si>
  <si>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</si>
  <si>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</si>
  <si>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</si>
  <si>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</si>
  <si>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</si>
  <si>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</si>
  <si>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</si>
  <si>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</si>
  <si>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</si>
  <si>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</si>
  <si>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</si>
  <si>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</si>
  <si>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</si>
  <si>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</si>
  <si>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</si>
  <si>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</si>
  <si>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</si>
  <si>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</si>
  <si>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</si>
  <si>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</si>
  <si>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</si>
  <si>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</si>
  <si>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</si>
  <si>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</si>
  <si>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</si>
  <si>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</si>
  <si>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</si>
  <si>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</si>
  <si>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</si>
  <si>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</si>
  <si>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</si>
  <si>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</si>
  <si>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</si>
  <si>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</si>
  <si>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</si>
  <si>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</si>
  <si>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</si>
  <si>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</si>
  <si>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</si>
  <si>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</si>
  <si>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</si>
  <si>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</si>
  <si>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</si>
  <si>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</si>
  <si>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</si>
  <si>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</si>
  <si>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</si>
  <si>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</si>
  <si>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</si>
  <si>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</si>
  <si>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</si>
  <si>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</si>
  <si>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</si>
  <si>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</si>
  <si>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</si>
  <si>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</si>
  <si>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</si>
  <si>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</si>
  <si>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</si>
  <si>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</si>
  <si>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</si>
  <si>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</si>
  <si>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</si>
  <si>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</si>
  <si>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</si>
  <si>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</si>
  <si>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</si>
  <si>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</si>
  <si>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</si>
  <si>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</si>
  <si>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</si>
  <si>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</si>
  <si>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</si>
  <si>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</si>
  <si>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</si>
  <si>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</si>
  <si>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</si>
  <si>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</si>
  <si>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</si>
  <si>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</si>
  <si>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</si>
  <si>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</si>
  <si>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</si>
  <si>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</si>
  <si>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</si>
  <si>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</si>
  <si>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</si>
  <si>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</si>
  <si>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</si>
  <si>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</si>
  <si>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</si>
  <si>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</si>
  <si>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</si>
  <si>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</si>
  <si>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</si>
  <si>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</si>
  <si>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</si>
  <si>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</si>
  <si>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</si>
  <si>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</si>
  <si>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</si>
  <si>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</si>
  <si>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</si>
  <si>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</si>
  <si>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</si>
  <si>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</si>
  <si>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</si>
  <si>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</si>
  <si>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</si>
  <si>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</si>
  <si>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</si>
  <si>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</si>
  <si>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</si>
  <si>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</si>
  <si>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</si>
  <si>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</si>
  <si>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</si>
  <si>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</si>
  <si>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</si>
  <si>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</si>
  <si>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</si>
  <si>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</si>
  <si>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</si>
  <si>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</si>
  <si>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</si>
  <si>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</si>
  <si>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</si>
  <si>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</si>
  <si>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</si>
  <si>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</si>
  <si>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</si>
  <si>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</si>
  <si>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</si>
  <si>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</si>
  <si>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</si>
  <si>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</si>
  <si>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</si>
  <si>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</si>
  <si>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</si>
  <si>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</si>
  <si>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</si>
  <si>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</si>
  <si>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</si>
  <si>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</si>
  <si>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</si>
  <si>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</si>
  <si>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</si>
  <si>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</si>
  <si>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</si>
  <si>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</si>
  <si>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</si>
  <si>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</si>
  <si>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</si>
  <si>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</si>
  <si>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</si>
  <si>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</si>
  <si>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</si>
  <si>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</si>
  <si>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</si>
  <si>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</si>
  <si>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</si>
  <si>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</si>
  <si>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</si>
  <si>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</si>
  <si>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</si>
  <si>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</si>
  <si>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</si>
  <si>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</si>
  <si>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</si>
  <si>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</si>
  <si>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</si>
  <si>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</si>
  <si>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</si>
  <si>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</si>
  <si>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</si>
  <si>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</si>
  <si>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</si>
  <si>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</si>
  <si>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</si>
  <si>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</si>
  <si>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</si>
  <si>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</si>
  <si>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</si>
  <si>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</si>
  <si>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</si>
  <si>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</si>
  <si>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</si>
  <si>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</si>
  <si>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</si>
  <si>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</si>
  <si>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</si>
  <si>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</si>
  <si>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</si>
  <si>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</si>
  <si>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</si>
  <si>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</si>
  <si>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</si>
  <si>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</si>
  <si>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</si>
  <si>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</si>
  <si>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</si>
  <si>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</si>
  <si>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</si>
  <si>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</si>
  <si>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</si>
  <si>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</si>
  <si>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</si>
  <si>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</si>
  <si>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</si>
  <si>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</si>
  <si>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</si>
  <si>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</si>
  <si>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</si>
  <si>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</si>
  <si>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</si>
  <si>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</si>
  <si>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</si>
  <si>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</si>
  <si>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</si>
  <si>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</si>
  <si>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</si>
  <si>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</si>
  <si>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</si>
  <si>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</si>
  <si>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</si>
  <si>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</si>
  <si>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</si>
  <si>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</si>
  <si>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</si>
  <si>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</si>
  <si>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</si>
  <si>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</si>
  <si>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</si>
  <si>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</si>
  <si>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</si>
  <si>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</si>
  <si>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</si>
  <si>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</si>
  <si>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</si>
  <si>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</si>
  <si>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</si>
  <si>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</si>
  <si>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</si>
  <si>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</si>
  <si>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</si>
  <si>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</si>
  <si>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</si>
  <si>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</si>
  <si>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</si>
  <si>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</si>
  <si>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</si>
  <si>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</si>
  <si>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</si>
  <si>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</si>
  <si>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</si>
  <si>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</si>
  <si>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</si>
  <si>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</si>
  <si>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</si>
  <si>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</si>
  <si>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</si>
  <si>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</si>
  <si>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</si>
  <si>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</si>
  <si>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</si>
  <si>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</si>
  <si>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</si>
  <si>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</si>
  <si>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</si>
  <si>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</si>
  <si>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</si>
  <si>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</si>
  <si>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</si>
  <si>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</si>
  <si>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</si>
  <si>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</si>
  <si>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</si>
  <si>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</si>
  <si>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</si>
  <si>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</si>
  <si>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</si>
  <si>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</si>
  <si>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</si>
  <si>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</si>
  <si>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</si>
  <si>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</si>
  <si>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</si>
  <si>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</si>
  <si>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</si>
  <si>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</si>
  <si>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</si>
  <si>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</si>
  <si>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</si>
  <si>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</si>
  <si>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</si>
  <si>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</si>
  <si>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</si>
  <si>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</si>
  <si>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</si>
  <si>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</si>
  <si>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</si>
  <si>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</si>
  <si>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</si>
  <si>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</si>
  <si>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</si>
  <si>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</si>
  <si>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</si>
  <si>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</si>
  <si>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</si>
  <si>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</si>
  <si>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</si>
  <si>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</si>
  <si>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</si>
  <si>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</si>
  <si>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</si>
  <si>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</si>
  <si>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</si>
  <si>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</si>
  <si>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</si>
  <si>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</si>
  <si>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</si>
  <si>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</si>
  <si>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</si>
  <si>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</si>
  <si>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</si>
  <si>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</si>
  <si>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</si>
  <si>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</si>
  <si>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</si>
  <si>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</si>
  <si>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</si>
  <si>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</si>
  <si>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</si>
  <si>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</si>
  <si>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</si>
  <si>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</si>
  <si>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</si>
  <si>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</si>
  <si>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</si>
  <si>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</si>
  <si>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</si>
  <si>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</si>
  <si>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</si>
  <si>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</si>
  <si>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</si>
  <si>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</si>
  <si>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</si>
  <si>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</si>
  <si>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</si>
  <si>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</si>
  <si>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</si>
  <si>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</si>
  <si>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</si>
  <si>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</si>
  <si>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</si>
  <si>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</si>
  <si>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</si>
  <si>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</si>
  <si>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</si>
  <si>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</si>
  <si>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</si>
  <si>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</si>
  <si>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</si>
  <si>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</si>
  <si>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</si>
  <si>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</si>
  <si>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</si>
  <si>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</si>
  <si>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</si>
  <si>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</si>
  <si>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</si>
  <si>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</si>
  <si>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</si>
  <si>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</si>
  <si>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</si>
  <si>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</si>
  <si>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</si>
  <si>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</si>
  <si>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</si>
  <si>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</si>
  <si>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</si>
  <si>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</si>
  <si>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</si>
  <si>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</si>
  <si>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</si>
  <si>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</si>
  <si>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</si>
  <si>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</si>
  <si>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</si>
  <si>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</si>
  <si>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</si>
  <si>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</si>
  <si>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</si>
  <si>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</si>
  <si>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</si>
  <si>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</si>
  <si>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</si>
  <si>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</si>
  <si>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</si>
  <si>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</si>
  <si>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</si>
  <si>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</si>
  <si>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</si>
  <si>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</si>
  <si>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</si>
  <si>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</si>
  <si>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</si>
  <si>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</si>
  <si>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</si>
  <si>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</si>
  <si>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</si>
  <si>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</si>
  <si>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</si>
  <si>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</si>
  <si>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</si>
  <si>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</si>
  <si>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</si>
  <si>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</si>
  <si>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</si>
  <si>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</si>
  <si>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</si>
  <si>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</si>
  <si>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</si>
  <si>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</si>
  <si>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</si>
  <si>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</si>
  <si>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</si>
  <si>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</si>
  <si>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</si>
  <si>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</si>
  <si>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</si>
  <si>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</si>
  <si>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</si>
  <si>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</si>
  <si>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</si>
  <si>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</si>
  <si>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</si>
  <si>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</si>
  <si>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</si>
  <si>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</si>
  <si>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</si>
  <si>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</si>
  <si>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</si>
  <si>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</si>
  <si>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</si>
  <si>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</si>
  <si>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</si>
  <si>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</si>
  <si>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</si>
  <si>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</si>
  <si>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</si>
  <si>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</si>
  <si>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</si>
  <si>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</si>
  <si>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</si>
  <si>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</si>
  <si>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</si>
  <si>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</si>
  <si>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</si>
  <si>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</si>
  <si>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</si>
  <si>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</si>
  <si>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</si>
  <si>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</si>
  <si>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</si>
  <si>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</si>
  <si>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</si>
  <si>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</si>
  <si>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</si>
  <si>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</si>
  <si>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</si>
  <si>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</si>
  <si>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</si>
  <si>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</si>
  <si>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</si>
  <si>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</si>
  <si>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</si>
  <si>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</si>
  <si>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</si>
  <si>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</si>
  <si>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</si>
  <si>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</si>
  <si>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</si>
  <si>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</si>
  <si>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</si>
  <si>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</si>
  <si>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</si>
  <si>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</si>
  <si>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</si>
  <si>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</si>
  <si>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</si>
  <si>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</si>
  <si>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</si>
  <si>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</si>
  <si>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</si>
  <si>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</si>
  <si>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</si>
  <si>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</si>
  <si>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</si>
  <si>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</si>
  <si>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</si>
  <si>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</si>
  <si>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</si>
  <si>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</si>
  <si>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</si>
  <si>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</si>
  <si>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</si>
  <si>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</si>
  <si>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</si>
  <si>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</si>
  <si>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</si>
  <si>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</si>
  <si>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</si>
  <si>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</si>
  <si>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</si>
  <si>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</si>
  <si>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</si>
  <si>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</si>
  <si>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</si>
  <si>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</si>
  <si>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</si>
  <si>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</si>
  <si>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</si>
  <si>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</si>
  <si>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</si>
  <si>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</si>
  <si>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</si>
  <si>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</si>
  <si>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</si>
  <si>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</si>
  <si>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</si>
  <si>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</si>
  <si>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</si>
  <si>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</si>
  <si>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</si>
  <si>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</si>
  <si>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</si>
  <si>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</si>
  <si>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</si>
  <si>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</si>
  <si>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</si>
  <si>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</si>
  <si>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</si>
  <si>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</si>
  <si>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</si>
  <si>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</si>
  <si>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</si>
  <si>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</si>
  <si>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</si>
  <si>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</si>
  <si>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</si>
  <si>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</si>
  <si>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</si>
  <si>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</si>
  <si>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</si>
  <si>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</si>
  <si>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</si>
  <si>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</si>
  <si>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</si>
  <si>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</si>
  <si>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</si>
  <si>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</si>
  <si>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</si>
  <si>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</si>
  <si>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</si>
  <si>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</si>
  <si>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</si>
  <si>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</si>
  <si>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</si>
  <si>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</si>
  <si>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</si>
  <si>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</si>
  <si>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</si>
  <si>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</si>
  <si>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</si>
  <si>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</si>
  <si>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</si>
  <si>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</si>
  <si>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</si>
  <si>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</si>
  <si>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</si>
  <si>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</si>
  <si>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</si>
  <si>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</si>
  <si>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</si>
  <si>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</si>
  <si>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</si>
  <si>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</si>
  <si>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</si>
  <si>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</si>
  <si>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</si>
  <si>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</si>
  <si>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</si>
  <si>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</si>
  <si>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</si>
  <si>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</si>
  <si>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</si>
  <si>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</si>
  <si>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</si>
  <si>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</si>
  <si>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</si>
  <si>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</si>
  <si>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</si>
  <si>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</si>
  <si>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</si>
  <si>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</si>
  <si>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</si>
  <si>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</si>
  <si>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</si>
  <si>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</si>
  <si>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</si>
  <si>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</si>
  <si>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</si>
  <si>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</si>
  <si>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</si>
  <si>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</si>
  <si>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</si>
  <si>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</si>
  <si>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</si>
  <si>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</si>
  <si>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</si>
  <si>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</si>
  <si>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</si>
  <si>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</si>
  <si>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</si>
  <si>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</si>
  <si>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</si>
  <si>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</si>
  <si>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</si>
  <si>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</si>
  <si>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</si>
  <si>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</si>
  <si>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</si>
  <si>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</si>
  <si>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</si>
  <si>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</si>
  <si>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</si>
  <si>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</si>
  <si>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</si>
  <si>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</si>
  <si>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</si>
  <si>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</si>
  <si>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</si>
  <si>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</si>
  <si>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</si>
  <si>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</si>
  <si>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</si>
  <si>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</si>
  <si>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</si>
  <si>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</si>
  <si>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</si>
  <si>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</si>
  <si>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</si>
  <si>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</si>
  <si>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</si>
  <si>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</si>
  <si>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</si>
  <si>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</si>
  <si>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</si>
  <si>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</si>
  <si>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</si>
  <si>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</si>
  <si>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</si>
  <si>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</si>
  <si>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</si>
  <si>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</si>
  <si>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</si>
  <si>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</si>
  <si>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</si>
  <si>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</si>
  <si>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</si>
  <si>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</si>
  <si>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</si>
  <si>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</si>
  <si>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</si>
  <si>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</si>
  <si>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</si>
  <si>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</si>
  <si>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</si>
  <si>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</si>
  <si>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</si>
  <si>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</si>
  <si>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</si>
  <si>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</si>
  <si>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</si>
  <si>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</si>
  <si>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</si>
  <si>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</si>
  <si>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</si>
  <si>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</si>
  <si>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</si>
  <si>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</si>
  <si>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</si>
  <si>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</si>
  <si>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</si>
  <si>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</si>
  <si>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</si>
  <si>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</si>
  <si>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</si>
  <si>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</si>
  <si>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</si>
  <si>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</si>
  <si>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</si>
  <si>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</si>
  <si>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</si>
  <si>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</si>
  <si>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</si>
  <si>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</si>
  <si>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</si>
  <si>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</si>
  <si>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</si>
  <si>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</si>
  <si>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</si>
  <si>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</si>
  <si>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</si>
  <si>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</si>
  <si>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</si>
  <si>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</si>
  <si>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</si>
  <si>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</si>
  <si>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</si>
  <si>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</si>
  <si>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</si>
  <si>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</si>
  <si>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</si>
  <si>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</si>
  <si>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</si>
  <si>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</si>
  <si>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</si>
  <si>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</si>
  <si>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</si>
  <si>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</si>
  <si>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</si>
  <si>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</si>
  <si>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</si>
  <si>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</si>
  <si>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</si>
  <si>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</si>
  <si>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</si>
  <si>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</si>
  <si>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</si>
  <si>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</si>
  <si>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</si>
  <si>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</si>
  <si>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</si>
  <si>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</si>
  <si>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</si>
  <si>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</si>
  <si>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</si>
  <si>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</si>
  <si>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</si>
  <si>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</si>
  <si>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</si>
  <si>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</si>
  <si>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</si>
  <si>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</si>
  <si>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</si>
  <si>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</si>
  <si>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</si>
  <si>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</si>
  <si>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</si>
  <si>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</si>
  <si>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</si>
  <si>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</si>
  <si>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</si>
  <si>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</si>
  <si>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</si>
  <si>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</si>
  <si>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</si>
  <si>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</si>
  <si>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</si>
  <si>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</si>
  <si>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</si>
  <si>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</si>
  <si>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</si>
  <si>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</si>
  <si>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</si>
  <si>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</si>
  <si>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</si>
  <si>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</si>
  <si>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</si>
  <si>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</si>
  <si>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</si>
  <si>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</si>
  <si>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</si>
  <si>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</si>
  <si>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</si>
  <si>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</si>
  <si>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</si>
  <si>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</si>
  <si>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</si>
  <si>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</si>
  <si>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</si>
  <si>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</si>
  <si>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</si>
  <si>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</si>
  <si>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</si>
  <si>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</si>
  <si>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</si>
  <si>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</si>
  <si>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</si>
  <si>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</si>
  <si>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</si>
  <si>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</si>
  <si>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</si>
  <si>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</si>
  <si>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</si>
  <si>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</si>
  <si>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</si>
  <si>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</si>
  <si>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</si>
  <si>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</si>
  <si>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</si>
  <si>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</si>
  <si>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</si>
  <si>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</si>
  <si>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</si>
  <si>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</si>
  <si>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</si>
  <si>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</si>
  <si>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</si>
  <si>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</si>
  <si>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</si>
  <si>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</si>
  <si>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</si>
  <si>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</si>
  <si>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</si>
  <si>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</si>
  <si>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</si>
  <si>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</si>
  <si>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</si>
  <si>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</si>
  <si>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</si>
  <si>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</si>
  <si>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</si>
  <si>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</si>
  <si>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</si>
  <si>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</si>
  <si>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</si>
  <si>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</si>
  <si>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</si>
  <si>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</si>
  <si>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</si>
  <si>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</si>
  <si>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</si>
  <si>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</si>
  <si>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</si>
  <si>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</si>
  <si>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</si>
  <si>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</si>
  <si>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</si>
  <si>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</si>
  <si>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</si>
  <si>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</si>
  <si>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</si>
  <si>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</si>
  <si>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</si>
  <si>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</si>
  <si>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</si>
  <si>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</si>
  <si>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</si>
  <si>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</si>
  <si>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</si>
  <si>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</si>
  <si>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</si>
  <si>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</si>
  <si>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</si>
  <si>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</si>
  <si>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</si>
  <si>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</si>
  <si>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</si>
  <si>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</si>
  <si>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</si>
  <si>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</si>
  <si>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</si>
  <si>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</si>
  <si>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</si>
  <si>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</si>
  <si>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</si>
  <si>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</si>
  <si>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</si>
  <si>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</si>
  <si>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</si>
  <si>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</si>
  <si>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</si>
  <si>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</si>
  <si>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</si>
  <si>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</si>
  <si>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</si>
  <si>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</si>
  <si>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</si>
  <si>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</si>
  <si>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</si>
  <si>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</si>
  <si>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</si>
  <si>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</si>
  <si>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</si>
  <si>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</si>
  <si>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</si>
  <si>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</si>
  <si>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</si>
  <si>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</si>
  <si>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</si>
  <si>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</si>
  <si>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</si>
  <si>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</si>
  <si>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</si>
  <si>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</si>
  <si>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</si>
  <si>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</si>
  <si>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</si>
  <si>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</si>
  <si>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</si>
  <si>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</si>
  <si>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</si>
  <si>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</si>
  <si>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</si>
  <si>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</si>
  <si>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</si>
  <si>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</si>
  <si>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</si>
  <si>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</si>
  <si>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</si>
  <si>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</si>
  <si>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</si>
  <si>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</si>
  <si>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</si>
  <si>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</si>
  <si>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</si>
  <si>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</si>
  <si>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</si>
  <si>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</si>
  <si>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</si>
  <si>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</si>
  <si>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</si>
  <si>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</si>
  <si>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</si>
  <si>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</si>
  <si>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</si>
  <si>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</si>
  <si>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</si>
  <si>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</si>
  <si>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</si>
  <si>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</si>
  <si>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</si>
  <si>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</si>
  <si>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</si>
  <si>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</si>
  <si>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</si>
  <si>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</si>
  <si>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</si>
  <si>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</si>
  <si>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</si>
  <si>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</si>
  <si>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</si>
  <si>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</si>
  <si>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</si>
  <si>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</si>
  <si>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</si>
  <si>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</si>
  <si>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</si>
  <si>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</si>
  <si>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</si>
  <si>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</si>
  <si>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</si>
  <si>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</si>
  <si>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</si>
  <si>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</si>
  <si>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</si>
  <si>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</si>
  <si>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</si>
  <si>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</si>
  <si>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</si>
  <si>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</si>
  <si>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</si>
  <si>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</si>
  <si>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</si>
  <si>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</si>
  <si>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</si>
  <si>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</si>
  <si>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</si>
  <si>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</si>
  <si>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</si>
  <si>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</si>
  <si>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</si>
  <si>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</si>
  <si>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</si>
  <si>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</si>
  <si>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</si>
  <si>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</si>
  <si>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</si>
  <si>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</si>
  <si>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</si>
  <si>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</si>
  <si>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</si>
  <si>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</si>
  <si>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</si>
  <si>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</si>
  <si>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</si>
  <si>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</si>
  <si>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</si>
  <si>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</si>
  <si>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</si>
  <si>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</si>
  <si>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</si>
  <si>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</si>
  <si>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</si>
  <si>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</si>
  <si>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</si>
  <si>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</si>
  <si>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</si>
  <si>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</si>
  <si>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</si>
  <si>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</si>
  <si>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</si>
  <si>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</si>
  <si>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</si>
  <si>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</si>
  <si>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</si>
  <si>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</si>
  <si>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</si>
  <si>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</si>
  <si>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</si>
  <si>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</si>
  <si>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</si>
  <si>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</si>
  <si>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</si>
  <si>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</si>
  <si>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</si>
  <si>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</si>
  <si>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</si>
  <si>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</si>
  <si>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</si>
  <si>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</si>
  <si>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</si>
  <si>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</si>
  <si>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</si>
  <si>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</si>
  <si>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</si>
  <si>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</si>
  <si>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</si>
  <si>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</si>
  <si>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</si>
  <si>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</si>
  <si>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</si>
  <si>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</si>
  <si>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</si>
  <si>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</si>
  <si>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</si>
  <si>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</si>
  <si>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</si>
  <si>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</si>
  <si>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</si>
  <si>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</si>
  <si>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</si>
  <si>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</si>
  <si>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</si>
  <si>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</si>
  <si>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</si>
  <si>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</si>
  <si>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</si>
  <si>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</si>
  <si>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</si>
  <si>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</si>
  <si>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</si>
  <si>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</si>
  <si>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</si>
  <si>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</si>
  <si>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</si>
  <si>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</si>
  <si>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</si>
  <si>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</si>
  <si>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</si>
  <si>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</si>
  <si>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</si>
  <si>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</si>
  <si>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</si>
  <si>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</si>
  <si>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</si>
  <si>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</si>
  <si>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</si>
  <si>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</si>
  <si>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</si>
  <si>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</si>
  <si>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</si>
  <si>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</si>
  <si>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</si>
  <si>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</si>
  <si>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</si>
  <si>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</si>
  <si>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</si>
  <si>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</si>
  <si>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</si>
  <si>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</si>
  <si>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</si>
  <si>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</si>
  <si>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</si>
  <si>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</si>
  <si>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</si>
  <si>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</si>
  <si>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</si>
  <si>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</si>
  <si>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</si>
  <si>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</si>
  <si>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</si>
  <si>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</si>
  <si>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</si>
  <si>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</si>
  <si>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</si>
  <si>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</si>
  <si>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</si>
  <si>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</si>
  <si>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</si>
  <si>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</si>
  <si>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</si>
  <si>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</si>
  <si>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</si>
  <si>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</si>
  <si>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</si>
  <si>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</si>
  <si>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</si>
  <si>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</si>
  <si>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</si>
  <si>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</si>
  <si>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</si>
  <si>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</si>
  <si>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</si>
  <si>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</si>
  <si>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</si>
  <si>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</si>
  <si>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</si>
  <si>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</si>
  <si>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</si>
  <si>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</si>
  <si>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</si>
  <si>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</si>
  <si>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</si>
  <si>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</si>
  <si>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</si>
  <si>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</si>
  <si>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</si>
  <si>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</si>
  <si>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</si>
  <si>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</si>
  <si>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</si>
  <si>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</si>
  <si>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</si>
  <si>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</si>
  <si>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</si>
  <si>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</si>
  <si>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</si>
  <si>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</si>
  <si>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</si>
  <si>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</si>
  <si>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</si>
  <si>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</si>
  <si>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</si>
  <si>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</si>
  <si>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</si>
  <si>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</si>
  <si>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</si>
  <si>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</si>
  <si>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</si>
  <si>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</si>
  <si>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</si>
  <si>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</si>
  <si>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</si>
  <si>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</si>
  <si>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</si>
  <si>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</si>
  <si>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</si>
  <si>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</si>
  <si>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</si>
  <si>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</si>
  <si>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</si>
  <si>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</si>
  <si>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</si>
  <si>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</si>
  <si>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</si>
  <si>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</si>
  <si>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</si>
  <si>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</si>
  <si>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</si>
  <si>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</si>
  <si>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</si>
  <si>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</si>
  <si>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</si>
  <si>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</si>
  <si>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</si>
  <si>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</si>
  <si>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</si>
  <si>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</si>
  <si>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</si>
  <si>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</si>
  <si>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</si>
  <si>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</si>
  <si>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</si>
  <si>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</si>
  <si>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</si>
  <si>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</si>
  <si>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</si>
  <si>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</si>
  <si>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</si>
  <si>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</si>
  <si>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</si>
  <si>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</si>
  <si>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</si>
  <si>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</si>
  <si>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</si>
  <si>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</si>
  <si>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</si>
  <si>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</si>
  <si>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</si>
  <si>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</si>
  <si>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</si>
  <si>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</si>
  <si>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</si>
  <si>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</si>
  <si>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</si>
  <si>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</si>
  <si>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</si>
  <si>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</si>
  <si>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</si>
  <si>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</si>
  <si>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</si>
  <si>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</si>
  <si>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</si>
  <si>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</si>
  <si>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</si>
  <si>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</si>
  <si>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</si>
  <si>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</si>
  <si>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</si>
  <si>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</si>
  <si>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</si>
  <si>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</si>
  <si>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</si>
  <si>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</si>
  <si>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</si>
  <si>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</si>
  <si>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</si>
  <si>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</si>
  <si>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</si>
  <si>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</si>
  <si>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</si>
  <si>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</si>
  <si>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</si>
  <si>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</si>
  <si>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</si>
  <si>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</si>
  <si>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</si>
  <si>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</si>
  <si>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</si>
  <si>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</si>
  <si>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</si>
  <si>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</si>
  <si>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</si>
  <si>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</si>
  <si>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</si>
  <si>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</si>
  <si>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</si>
  <si>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</si>
  <si>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</si>
  <si>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</si>
  <si>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</si>
  <si>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</si>
  <si>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</si>
  <si>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</si>
  <si>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</si>
  <si>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</si>
  <si>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</si>
  <si>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</si>
  <si>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</si>
  <si>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</si>
  <si>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</si>
  <si>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</si>
  <si>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</si>
  <si>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</si>
  <si>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</si>
  <si>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</si>
  <si>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</si>
  <si>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</si>
  <si>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</si>
  <si>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</si>
  <si>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</si>
  <si>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</si>
  <si>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</si>
  <si>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</si>
  <si>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</si>
  <si>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</si>
  <si>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</si>
  <si>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</si>
  <si>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</si>
  <si>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</si>
  <si>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</si>
  <si>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</si>
  <si>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</si>
  <si>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</si>
  <si>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</si>
  <si>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</si>
  <si>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</si>
  <si>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</si>
  <si>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</si>
  <si>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</si>
  <si>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</si>
  <si>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</si>
  <si>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</si>
  <si>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</si>
  <si>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</si>
  <si>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</si>
  <si>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</si>
  <si>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</si>
  <si>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</si>
  <si>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</si>
  <si>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</si>
  <si>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</si>
  <si>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</si>
  <si>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</si>
  <si>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</si>
  <si>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</si>
  <si>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</si>
  <si>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</si>
  <si>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</si>
  <si>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</si>
  <si>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</si>
  <si>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</si>
  <si>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</si>
  <si>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</si>
  <si>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</si>
  <si>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</si>
  <si>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</si>
  <si>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</si>
  <si>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</si>
  <si>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</si>
  <si>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</si>
  <si>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</si>
  <si>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</si>
  <si>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</si>
  <si>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</si>
  <si>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</si>
  <si>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</si>
  <si>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</si>
  <si>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</si>
  <si>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</si>
  <si>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</si>
  <si>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</si>
  <si>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</si>
  <si>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</si>
  <si>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</si>
  <si>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</si>
  <si>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</si>
  <si>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</si>
  <si>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</si>
  <si>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</si>
  <si>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</si>
  <si>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</si>
  <si>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</si>
  <si>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</si>
  <si>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</si>
  <si>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</si>
  <si>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</si>
  <si>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</si>
  <si>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</si>
  <si>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</si>
  <si>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</si>
  <si>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</si>
  <si>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</si>
  <si>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</si>
  <si>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</si>
  <si>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</si>
  <si>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</si>
  <si>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</si>
  <si>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</si>
  <si>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</si>
  <si>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</si>
  <si>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</si>
  <si>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</si>
  <si>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</si>
  <si>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</si>
  <si>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</si>
  <si>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</si>
  <si>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</si>
  <si>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</si>
  <si>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</si>
  <si>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</si>
  <si>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</si>
  <si>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</si>
  <si>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</si>
  <si>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</si>
  <si>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</si>
  <si>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</si>
  <si>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</si>
  <si>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</si>
  <si>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</si>
  <si>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</si>
  <si>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</si>
  <si>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</si>
  <si>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</si>
  <si>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</si>
  <si>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</si>
  <si>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</si>
  <si>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</si>
  <si>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</si>
  <si>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</si>
  <si>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</si>
  <si>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</si>
  <si>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</si>
  <si>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</si>
  <si>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</si>
  <si>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</si>
  <si>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</si>
  <si>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</si>
  <si>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</si>
  <si>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</si>
  <si>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</si>
  <si>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</si>
  <si>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</si>
  <si>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</si>
  <si>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</si>
  <si>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</si>
  <si>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</si>
  <si>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</si>
  <si>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</si>
  <si>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</si>
  <si>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</si>
  <si>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</si>
  <si>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</si>
  <si>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</si>
  <si>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</si>
  <si>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</si>
  <si>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</si>
  <si>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</si>
  <si>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</si>
  <si>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</si>
  <si>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</si>
  <si>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</si>
  <si>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</si>
  <si>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</si>
  <si>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</si>
  <si>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</si>
  <si>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</si>
  <si>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</si>
  <si>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</si>
  <si>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</si>
  <si>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</si>
  <si>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</si>
  <si>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</si>
  <si>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</si>
  <si>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</si>
  <si>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</si>
  <si>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</si>
  <si>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</si>
  <si>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</si>
  <si>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</si>
  <si>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</si>
  <si>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</si>
  <si>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</si>
  <si>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</si>
  <si>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</si>
  <si>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</si>
  <si>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</si>
  <si>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</si>
  <si>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</si>
  <si>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</si>
  <si>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</si>
  <si>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</si>
  <si>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</si>
  <si>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</si>
  <si>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</si>
  <si>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</si>
  <si>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</si>
  <si>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</si>
  <si>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</si>
  <si>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</si>
  <si>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</si>
  <si>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</si>
  <si>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</si>
  <si>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</si>
  <si>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</si>
  <si>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</si>
  <si>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</si>
  <si>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</si>
  <si>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</si>
  <si>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</si>
  <si>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</si>
  <si>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</si>
  <si>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</si>
  <si>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</si>
  <si>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</si>
  <si>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</si>
  <si>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</si>
  <si>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</si>
  <si>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</si>
  <si>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</si>
  <si>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</si>
  <si>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</si>
  <si>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</si>
  <si>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</si>
  <si>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</si>
  <si>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</si>
  <si>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</si>
  <si>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</si>
  <si>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</si>
  <si>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</si>
  <si>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</si>
  <si>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</si>
  <si>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</si>
  <si>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</si>
  <si>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</si>
  <si>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</si>
  <si>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</si>
  <si>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</si>
  <si>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</si>
  <si>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</si>
  <si>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</si>
  <si>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</si>
  <si>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</si>
  <si>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</si>
  <si>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</si>
  <si>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</si>
  <si>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</si>
  <si>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</si>
  <si>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</si>
  <si>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</si>
  <si>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</si>
  <si>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</si>
  <si>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</si>
  <si>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</si>
  <si>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</si>
  <si>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</si>
  <si>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</si>
  <si>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</si>
  <si>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</si>
  <si>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</si>
  <si>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</si>
  <si>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</si>
  <si>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</si>
  <si>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</si>
  <si>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</si>
  <si>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</si>
  <si>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</si>
  <si>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</si>
  <si>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</si>
  <si>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</si>
  <si>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</si>
  <si>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</si>
  <si>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</si>
  <si>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</si>
  <si>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</si>
  <si>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</si>
  <si>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</si>
  <si>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</si>
  <si>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</si>
  <si>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</si>
  <si>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</si>
  <si>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</si>
  <si>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</si>
  <si>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</si>
  <si>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</si>
  <si>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</si>
  <si>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</si>
  <si>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</si>
  <si>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</si>
  <si>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</si>
  <si>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</si>
  <si>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</si>
  <si>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</si>
  <si>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</si>
  <si>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</si>
  <si>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</si>
  <si>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</si>
  <si>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</si>
  <si>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</si>
  <si>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</si>
  <si>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</si>
  <si>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</si>
  <si>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</si>
  <si>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</si>
  <si>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</si>
  <si>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</si>
  <si>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</si>
  <si>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</si>
  <si>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</si>
  <si>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</si>
  <si>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</si>
  <si>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</si>
  <si>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</si>
  <si>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</si>
  <si>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</si>
  <si>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</si>
  <si>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</si>
  <si>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</si>
  <si>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</si>
  <si>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</si>
  <si>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</si>
  <si>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</si>
  <si>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</si>
  <si>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</si>
  <si>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</si>
  <si>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</si>
  <si>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</si>
  <si>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</si>
  <si>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</si>
  <si>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</si>
  <si>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</si>
  <si>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</si>
  <si>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</si>
  <si>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</si>
  <si>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</si>
  <si>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</si>
  <si>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</si>
  <si>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</si>
  <si>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</si>
  <si>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</si>
  <si>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</si>
  <si>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</si>
  <si>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</si>
  <si>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</si>
  <si>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</si>
  <si>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</si>
  <si>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</si>
  <si>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</si>
  <si>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</si>
  <si>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</si>
  <si>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</si>
  <si>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</si>
  <si>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</si>
  <si>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</si>
  <si>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</si>
  <si>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</si>
  <si>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</si>
  <si>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</si>
  <si>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</si>
  <si>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</si>
  <si>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</si>
  <si>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</si>
  <si>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</si>
  <si>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</si>
  <si>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</si>
  <si>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</si>
  <si>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</si>
  <si>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</si>
  <si>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</si>
  <si>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</si>
  <si>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</si>
  <si>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</si>
  <si>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</si>
  <si>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</si>
  <si>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</si>
  <si>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</si>
  <si>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</si>
  <si>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</si>
  <si>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</si>
  <si>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</si>
  <si>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</si>
  <si>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</si>
  <si>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</si>
  <si>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</si>
  <si>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</si>
  <si>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</si>
  <si>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</si>
  <si>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</si>
  <si>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</si>
  <si>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</si>
  <si>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</si>
  <si>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</si>
  <si>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</si>
  <si>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</si>
  <si>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</si>
  <si>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</si>
  <si>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</si>
  <si>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</si>
  <si>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</si>
  <si>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</si>
  <si>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</si>
  <si>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</si>
  <si>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</si>
  <si>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</si>
  <si>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</si>
  <si>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</si>
  <si>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</si>
  <si>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</si>
  <si>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</si>
  <si>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</si>
  <si>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</si>
  <si>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</si>
  <si>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</si>
  <si>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</si>
  <si>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</si>
  <si>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</si>
  <si>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</si>
  <si>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</si>
  <si>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</si>
  <si>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</si>
  <si>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</si>
  <si>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</si>
  <si>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</si>
  <si>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</si>
  <si>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</si>
  <si>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</si>
  <si>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</si>
  <si>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</si>
  <si>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</si>
  <si>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</si>
  <si>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</si>
  <si>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</si>
  <si>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</si>
  <si>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</si>
  <si>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</si>
  <si>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</si>
  <si>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</si>
  <si>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</si>
  <si>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</si>
  <si>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</si>
  <si>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</si>
  <si>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</si>
  <si>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</si>
  <si>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</si>
  <si>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</si>
  <si>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</si>
  <si>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</si>
  <si>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</si>
  <si>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</si>
  <si>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</si>
  <si>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</si>
  <si>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</si>
  <si>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</si>
  <si>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</si>
  <si>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</si>
  <si>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</si>
  <si>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</si>
  <si>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</si>
  <si>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</si>
  <si>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</si>
  <si>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</si>
  <si>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</si>
  <si>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</si>
  <si>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</si>
  <si>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</si>
  <si>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</si>
  <si>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</si>
  <si>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</si>
  <si>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</si>
  <si>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</si>
  <si>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</si>
  <si>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</si>
  <si>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</si>
  <si>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</si>
  <si>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</si>
  <si>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</si>
  <si>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</si>
  <si>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</si>
  <si>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</si>
  <si>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</si>
  <si>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</si>
  <si>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</si>
  <si>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</si>
  <si>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</si>
  <si>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</si>
  <si>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</si>
  <si>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</si>
  <si>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</si>
  <si>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</si>
  <si>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</si>
  <si>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</si>
  <si>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</si>
  <si>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</si>
  <si>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</si>
  <si>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</si>
  <si>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</si>
  <si>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</si>
  <si>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</si>
  <si>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</si>
  <si>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</si>
  <si>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</si>
  <si>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</si>
  <si>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</si>
  <si>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</si>
  <si>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</si>
  <si>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</si>
  <si>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</si>
  <si>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</si>
  <si>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</si>
  <si>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</si>
  <si>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</si>
  <si>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</si>
  <si>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</si>
  <si>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</si>
  <si>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</si>
  <si>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</si>
  <si>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</si>
  <si>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</si>
  <si>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</si>
  <si>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</si>
  <si>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</si>
  <si>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</si>
  <si>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</si>
  <si>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</si>
  <si>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</si>
  <si>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</si>
  <si>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</si>
  <si>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</si>
  <si>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</si>
  <si>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</si>
  <si>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</si>
  <si>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</si>
  <si>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</si>
  <si>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</si>
  <si>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</si>
  <si>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</si>
  <si>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</si>
  <si>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</si>
  <si>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</si>
  <si>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</si>
  <si>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</si>
  <si>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</si>
  <si>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</si>
  <si>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</si>
  <si>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</si>
  <si>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</si>
  <si>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</si>
  <si>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</si>
  <si>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</si>
  <si>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</si>
  <si>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</si>
  <si>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</si>
  <si>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</si>
  <si>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</si>
  <si>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</si>
  <si>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</si>
  <si>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</si>
  <si>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</si>
  <si>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</si>
  <si>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</si>
  <si>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</si>
  <si>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</si>
  <si>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</si>
  <si>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</si>
  <si>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</si>
  <si>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</si>
  <si>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</si>
  <si>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</si>
  <si>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</si>
  <si>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</si>
  <si>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</si>
  <si>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</si>
  <si>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</si>
  <si>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</si>
  <si>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</si>
  <si>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</si>
  <si>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</si>
  <si>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</si>
  <si>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</si>
  <si>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</si>
  <si>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</si>
  <si>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</si>
  <si>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</si>
  <si>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</si>
  <si>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</si>
  <si>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</si>
  <si>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</si>
  <si>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</si>
  <si>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</si>
  <si>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</si>
  <si>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</si>
  <si>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</si>
  <si>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</si>
  <si>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</si>
  <si>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</si>
  <si>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</si>
  <si>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</si>
  <si>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</si>
  <si>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</si>
  <si>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</si>
  <si>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</si>
  <si>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</si>
  <si>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</si>
  <si>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</si>
  <si>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</si>
  <si>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</si>
  <si>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</si>
  <si>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</si>
  <si>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</si>
  <si>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</si>
  <si>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</si>
  <si>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</si>
  <si>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</si>
  <si>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</si>
  <si>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</si>
  <si>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</si>
  <si>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</si>
  <si>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</si>
  <si>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</si>
  <si>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</si>
  <si>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</si>
  <si>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</si>
  <si>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</si>
  <si>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</si>
  <si>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</si>
  <si>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</si>
  <si>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</si>
  <si>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</si>
  <si>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</si>
  <si>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</si>
  <si>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</si>
  <si>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</si>
  <si>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</si>
  <si>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</si>
  <si>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</si>
  <si>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</si>
  <si>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</si>
  <si>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</si>
  <si>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</si>
  <si>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</si>
  <si>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</si>
  <si>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</si>
  <si>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</si>
  <si>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</si>
  <si>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</si>
  <si>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</si>
  <si>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</si>
  <si>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</si>
  <si>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</si>
  <si>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</si>
  <si>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</si>
  <si>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</si>
  <si>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</si>
  <si>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</si>
  <si>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</si>
  <si>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</si>
  <si>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</si>
  <si>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</si>
  <si>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</si>
  <si>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</si>
  <si>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</si>
  <si>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</si>
  <si>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</si>
  <si>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</si>
  <si>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</si>
  <si>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</si>
  <si>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</si>
  <si>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</si>
  <si>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</si>
  <si>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</si>
  <si>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</si>
  <si>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</si>
  <si>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</si>
  <si>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</si>
  <si>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</si>
  <si>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</si>
  <si>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</si>
  <si>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</si>
  <si>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</si>
  <si>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</si>
  <si>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</si>
  <si>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</si>
  <si>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</si>
  <si>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</si>
  <si>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</si>
  <si>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</si>
  <si>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</si>
  <si>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</si>
  <si>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</si>
  <si>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</si>
  <si>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</si>
  <si>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</si>
  <si>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</si>
  <si>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</si>
  <si>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</si>
  <si>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</si>
  <si>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</si>
  <si>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</si>
  <si>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</si>
  <si>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</si>
  <si>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</si>
  <si>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</si>
  <si>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</si>
  <si>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</si>
  <si>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</si>
  <si>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</si>
  <si>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</si>
  <si>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</si>
  <si>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</si>
  <si>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</si>
  <si>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</si>
  <si>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</si>
  <si>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</si>
  <si>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</si>
  <si>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</si>
  <si>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</si>
  <si>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</si>
  <si>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</si>
  <si>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</si>
  <si>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</si>
  <si>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</si>
  <si>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</si>
  <si>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</si>
  <si>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</si>
  <si>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</si>
  <si>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</si>
  <si>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</si>
  <si>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</si>
  <si>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</si>
  <si>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</si>
  <si>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</si>
  <si>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</si>
  <si>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</si>
  <si>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</si>
  <si>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</si>
  <si>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</si>
  <si>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</si>
  <si>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</si>
  <si>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</si>
  <si>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</si>
  <si>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</si>
  <si>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</si>
  <si>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</si>
  <si>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</si>
  <si>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</si>
  <si>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</si>
  <si>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</si>
  <si>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</si>
  <si>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</si>
  <si>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</si>
  <si>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</si>
  <si>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</si>
  <si>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</si>
  <si>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</si>
  <si>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</si>
  <si>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</si>
  <si>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</si>
  <si>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</si>
  <si>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</si>
  <si>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</si>
  <si>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</si>
  <si>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</si>
  <si>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</si>
  <si>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</si>
  <si>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</si>
  <si>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</si>
  <si>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</si>
  <si>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</si>
  <si>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</si>
  <si>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</si>
  <si>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</si>
  <si>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</si>
  <si>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</si>
  <si>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</si>
  <si>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</si>
  <si>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</si>
  <si>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</si>
  <si>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</si>
  <si>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</si>
  <si>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</si>
  <si>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</si>
  <si>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</si>
  <si>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</si>
  <si>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</si>
  <si>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</si>
  <si>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</si>
  <si>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</si>
  <si>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</si>
  <si>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</si>
  <si>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</si>
  <si>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</si>
  <si>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</si>
  <si>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</si>
  <si>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</si>
  <si>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</si>
  <si>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</si>
  <si>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</si>
  <si>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</si>
  <si>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</si>
  <si>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</si>
  <si>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</si>
  <si>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</si>
  <si>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</si>
  <si>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</si>
  <si>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</si>
  <si>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</si>
  <si>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</si>
  <si>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</si>
  <si>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</si>
  <si>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</si>
  <si>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</si>
  <si>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</si>
  <si>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</si>
  <si>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</si>
  <si>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</si>
  <si>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</si>
  <si>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</si>
  <si>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</si>
  <si>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</si>
  <si>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</si>
  <si>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</si>
  <si>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</si>
  <si>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</si>
  <si>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</si>
  <si>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</si>
  <si>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</si>
  <si>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</si>
  <si>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</si>
  <si>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</si>
  <si>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</si>
  <si>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</si>
  <si>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</si>
  <si>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</si>
  <si>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</si>
  <si>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</si>
  <si>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</si>
  <si>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</si>
  <si>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</si>
  <si>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</si>
  <si>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</si>
  <si>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</si>
  <si>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</si>
  <si>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</si>
  <si>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</si>
  <si>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</si>
  <si>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</si>
  <si>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</si>
  <si>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</si>
  <si>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</si>
  <si>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</si>
  <si>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</si>
  <si>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</si>
  <si>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</si>
  <si>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</si>
  <si>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</si>
  <si>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</si>
  <si>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</si>
  <si>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</si>
  <si>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</si>
  <si>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</si>
  <si>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</si>
  <si>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</si>
  <si>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</si>
  <si>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</si>
  <si>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</si>
  <si>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</si>
  <si>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</si>
  <si>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</si>
  <si>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</si>
  <si>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</si>
  <si>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</si>
  <si>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</si>
  <si>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</si>
  <si>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</si>
  <si>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</si>
  <si>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</si>
  <si>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</si>
  <si>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</si>
  <si>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</si>
  <si>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</si>
  <si>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</si>
  <si>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</si>
  <si>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</si>
  <si>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</si>
  <si>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</si>
  <si>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</si>
  <si>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</si>
  <si>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</si>
  <si>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</si>
  <si>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</si>
  <si>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</si>
  <si>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</si>
  <si>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</si>
  <si>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</si>
  <si>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</si>
  <si>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</si>
  <si>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</si>
  <si>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</si>
  <si>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</si>
  <si>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</si>
  <si>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</si>
  <si>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</si>
  <si>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</si>
  <si>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</si>
  <si>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</si>
  <si>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</si>
  <si>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</si>
  <si>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</si>
  <si>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</si>
  <si>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</si>
  <si>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</si>
  <si>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</si>
  <si>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</si>
  <si>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</si>
  <si>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</si>
  <si>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</si>
  <si>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</si>
  <si>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</si>
  <si>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</si>
  <si>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</si>
  <si>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</si>
  <si>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</si>
  <si>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</si>
  <si>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</si>
  <si>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</si>
  <si>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</si>
  <si>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</si>
  <si>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</si>
  <si>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</si>
  <si>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</si>
  <si>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</si>
  <si>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</si>
  <si>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</si>
  <si>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</si>
  <si>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</si>
  <si>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</si>
  <si>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</si>
  <si>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</si>
  <si>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</si>
  <si>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</si>
  <si>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</si>
  <si>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</si>
  <si>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</si>
  <si>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</si>
  <si>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</si>
  <si>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</si>
  <si>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</si>
  <si>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</si>
  <si>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</si>
  <si>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</si>
  <si>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</si>
  <si>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</si>
  <si>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</si>
  <si>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</si>
  <si>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</si>
  <si>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</si>
  <si>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</si>
  <si>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</si>
  <si>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</si>
  <si>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</si>
  <si>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</si>
  <si>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</si>
  <si>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</si>
  <si>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</si>
  <si>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</si>
  <si>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</si>
  <si>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</si>
  <si>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</si>
  <si>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</si>
  <si>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</si>
  <si>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</si>
  <si>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</si>
  <si>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</si>
  <si>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</si>
  <si>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</si>
  <si>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</si>
  <si>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</si>
  <si>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</si>
  <si>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</si>
  <si>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</si>
  <si>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</si>
  <si>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</si>
  <si>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</si>
  <si>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</si>
  <si>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</si>
  <si>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</si>
  <si>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</si>
  <si>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</si>
  <si>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</si>
  <si>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</si>
  <si>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</si>
  <si>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</si>
  <si>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</si>
  <si>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</si>
  <si>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</si>
  <si>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</si>
  <si>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</si>
  <si>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</si>
  <si>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</si>
  <si>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</si>
  <si>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</si>
  <si>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</si>
  <si>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</si>
  <si>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</si>
  <si>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</si>
  <si>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</si>
  <si>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</si>
  <si>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</si>
  <si>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</si>
  <si>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</si>
  <si>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</si>
  <si>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</si>
  <si>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</si>
  <si>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</si>
  <si>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</si>
  <si>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</si>
  <si>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</si>
  <si>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</si>
  <si>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</si>
  <si>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</si>
  <si>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</si>
  <si>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</si>
  <si>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</si>
  <si>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</si>
  <si>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</si>
  <si>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</si>
  <si>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</si>
  <si>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</si>
  <si>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</si>
  <si>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</si>
  <si>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</si>
  <si>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</si>
  <si>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</si>
  <si>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</si>
  <si>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</si>
  <si>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</si>
  <si>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</si>
  <si>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</si>
  <si>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</si>
  <si>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</si>
  <si>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</si>
  <si>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</si>
  <si>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</si>
  <si>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</si>
  <si>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</si>
  <si>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</si>
  <si>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</si>
  <si>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</si>
  <si>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</si>
  <si>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</si>
  <si>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</si>
  <si>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</si>
  <si>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</si>
  <si>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</si>
  <si>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</si>
  <si>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</si>
  <si>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</si>
  <si>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</si>
  <si>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</si>
  <si>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</si>
  <si>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</si>
  <si>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</si>
  <si>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</si>
  <si>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</si>
  <si>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</si>
  <si>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</si>
  <si>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</si>
  <si>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</si>
  <si>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</si>
  <si>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</si>
  <si>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</si>
  <si>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</si>
  <si>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</si>
  <si>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</si>
  <si>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</si>
  <si>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</si>
  <si>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</si>
  <si>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</si>
  <si>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</si>
  <si>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</si>
  <si>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</si>
  <si>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</si>
  <si>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</si>
  <si>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</si>
  <si>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</si>
  <si>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</si>
  <si>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</si>
  <si>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</si>
  <si>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</si>
  <si>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</si>
  <si>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</si>
  <si>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</si>
  <si>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</si>
  <si>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</si>
  <si>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</si>
  <si>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</si>
  <si>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</si>
  <si>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</si>
  <si>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</si>
  <si>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</si>
  <si>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</si>
  <si>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</si>
  <si>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</si>
  <si>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</si>
  <si>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</si>
  <si>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</si>
  <si>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</si>
  <si>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</si>
  <si>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</si>
  <si>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</si>
  <si>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</si>
  <si>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</si>
  <si>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</si>
  <si>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</si>
  <si>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</si>
  <si>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</si>
  <si>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</si>
  <si>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</si>
  <si>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</si>
  <si>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</si>
  <si>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</si>
  <si>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</si>
  <si>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</si>
  <si>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</si>
  <si>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</si>
  <si>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</si>
  <si>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</si>
  <si>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</si>
  <si>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</si>
  <si>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</si>
  <si>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</si>
  <si>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</si>
  <si>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</si>
  <si>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</si>
  <si>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</si>
  <si>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</si>
  <si>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</si>
  <si>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</si>
  <si>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</si>
  <si>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</si>
  <si>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</si>
  <si>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</si>
  <si>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</si>
  <si>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</si>
  <si>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</si>
  <si>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</si>
  <si>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</si>
  <si>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</si>
  <si>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</si>
  <si>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</si>
  <si>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</si>
  <si>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</si>
  <si>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</si>
  <si>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</si>
  <si>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</si>
  <si>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</si>
  <si>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</si>
  <si>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</si>
  <si>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</si>
  <si>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</si>
  <si>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</si>
  <si>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</si>
  <si>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</si>
  <si>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</si>
  <si>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</si>
  <si>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</si>
  <si>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</si>
  <si>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</si>
  <si>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</si>
  <si>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</si>
  <si>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</si>
  <si>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</si>
  <si>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</si>
  <si>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</si>
  <si>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</si>
  <si>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</si>
  <si>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</si>
  <si>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</si>
  <si>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</si>
  <si>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</si>
  <si>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</si>
  <si>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</si>
  <si>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</si>
  <si>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</si>
  <si>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</si>
  <si>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</si>
  <si>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</si>
  <si>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</si>
  <si>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</si>
  <si>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</si>
  <si>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</si>
  <si>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</si>
  <si>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</si>
  <si>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</si>
  <si>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</si>
  <si>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</si>
  <si>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</si>
  <si>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</si>
  <si>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</si>
  <si>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</si>
  <si>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</si>
  <si>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</si>
  <si>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</si>
  <si>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</si>
  <si>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</si>
  <si>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</si>
  <si>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</si>
  <si>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</si>
  <si>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</si>
  <si>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</si>
  <si>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</si>
  <si>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</si>
  <si>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</si>
  <si>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</si>
  <si>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</si>
  <si>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</si>
  <si>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</si>
  <si>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</si>
  <si>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</si>
  <si>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</si>
  <si>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</si>
  <si>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</si>
  <si>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</si>
  <si>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</si>
  <si>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</si>
  <si>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</si>
  <si>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</si>
  <si>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</si>
  <si>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</si>
  <si>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</si>
  <si>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</si>
  <si>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</si>
  <si>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</si>
  <si>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</si>
  <si>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</si>
  <si>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</si>
  <si>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</si>
  <si>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</si>
  <si>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</si>
  <si>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</si>
  <si>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</si>
  <si>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</si>
  <si>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</si>
  <si>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</si>
  <si>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</si>
  <si>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</si>
  <si>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</si>
  <si>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</si>
  <si>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</si>
  <si>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</si>
  <si>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</si>
  <si>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</si>
  <si>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</si>
  <si>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</si>
  <si>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</si>
  <si>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</si>
  <si>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</si>
  <si>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</si>
  <si>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</si>
  <si>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</si>
  <si>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</si>
  <si>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</si>
  <si>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</si>
  <si>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</si>
  <si>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</si>
  <si>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</si>
  <si>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</si>
  <si>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</si>
  <si>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</si>
  <si>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</si>
  <si>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</si>
  <si>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</si>
  <si>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</si>
  <si>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</si>
  <si>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</si>
  <si>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</si>
  <si>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</si>
  <si>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</si>
  <si>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</si>
  <si>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</si>
  <si>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</si>
  <si>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</si>
  <si>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</si>
  <si>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</si>
  <si>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</si>
  <si>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</si>
  <si>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</si>
  <si>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</si>
  <si>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</si>
  <si>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</si>
  <si>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</si>
  <si>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</si>
  <si>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</si>
  <si>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</si>
  <si>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</si>
  <si>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</si>
  <si>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</si>
  <si>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</si>
  <si>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</si>
  <si>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</si>
  <si>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</si>
  <si>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</si>
  <si>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</si>
  <si>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</si>
  <si>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</si>
  <si>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</si>
  <si>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</si>
  <si>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</si>
  <si>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</si>
  <si>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</si>
  <si>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</si>
  <si>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</si>
  <si>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</si>
  <si>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</si>
  <si>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</si>
  <si>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</si>
  <si>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</si>
  <si>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</si>
  <si>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</si>
  <si>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</si>
  <si>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</si>
  <si>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</si>
  <si>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</si>
  <si>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</si>
  <si>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</si>
  <si>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</si>
  <si>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</si>
  <si>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</si>
  <si>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</si>
  <si>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</si>
  <si>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</si>
  <si>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</si>
  <si>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</si>
  <si>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</si>
  <si>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</si>
  <si>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</si>
  <si>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</si>
  <si>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</si>
  <si>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</si>
  <si>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</si>
  <si>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</si>
  <si>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</si>
  <si>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</si>
  <si>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</si>
  <si>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</si>
  <si>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</si>
  <si>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</si>
  <si>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</si>
  <si>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</si>
  <si>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</si>
  <si>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</si>
  <si>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</si>
  <si>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</si>
  <si>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</si>
  <si>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</si>
  <si>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</si>
  <si>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</si>
  <si>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</si>
  <si>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</si>
  <si>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</si>
  <si>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</si>
  <si>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</si>
  <si>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</si>
  <si>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</si>
  <si>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</si>
  <si>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</si>
  <si>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</si>
  <si>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</si>
  <si>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</si>
  <si>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</si>
  <si>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</si>
  <si>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</si>
  <si>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</si>
  <si>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</si>
  <si>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</si>
  <si>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</si>
  <si>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</si>
  <si>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</si>
  <si>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</si>
  <si>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</si>
  <si>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</si>
  <si>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</si>
  <si>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</si>
  <si>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</si>
  <si>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</si>
  <si>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</si>
  <si>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</si>
  <si>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</si>
  <si>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</si>
  <si>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</si>
  <si>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</si>
  <si>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</si>
  <si>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</si>
  <si>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</si>
  <si>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</si>
  <si>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</si>
  <si>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</si>
  <si>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</si>
  <si>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</si>
  <si>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</si>
  <si>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</si>
  <si>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</si>
  <si>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</si>
  <si>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</si>
  <si>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</si>
  <si>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</si>
  <si>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</si>
  <si>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</si>
  <si>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</si>
  <si>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</si>
  <si>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</si>
  <si>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</si>
  <si>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</si>
  <si>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</si>
  <si>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</si>
  <si>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</si>
  <si>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</si>
  <si>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</si>
  <si>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</si>
  <si>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</si>
  <si>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</si>
  <si>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</si>
  <si>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</si>
  <si>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</si>
  <si>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</si>
  <si>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</si>
  <si>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</si>
  <si>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</si>
  <si>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</si>
  <si>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</si>
  <si>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</si>
  <si>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</si>
  <si>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</si>
  <si>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</si>
  <si>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</si>
  <si>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</si>
  <si>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</si>
  <si>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</si>
  <si>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</si>
  <si>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</si>
  <si>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</si>
  <si>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</si>
  <si>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</si>
  <si>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</si>
  <si>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</si>
  <si>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</si>
  <si>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</si>
  <si>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</si>
  <si>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</si>
  <si>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</si>
  <si>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</si>
  <si>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</si>
  <si>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</si>
  <si>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</si>
  <si>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</si>
  <si>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</si>
  <si>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</si>
  <si>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</si>
  <si>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</si>
  <si>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</si>
  <si>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</si>
  <si>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</si>
  <si>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</si>
  <si>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</si>
  <si>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</si>
  <si>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</si>
  <si>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</si>
  <si>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</si>
  <si>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</si>
  <si>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</si>
  <si>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</si>
  <si>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</si>
  <si>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</si>
  <si>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</si>
  <si>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</si>
  <si>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</si>
  <si>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</si>
  <si>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</si>
  <si>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</si>
  <si>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</si>
  <si>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</si>
  <si>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</si>
  <si>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</si>
  <si>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</si>
  <si>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</si>
  <si>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</si>
  <si>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</si>
  <si>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</si>
  <si>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</si>
  <si>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</si>
  <si>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</si>
  <si>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</si>
  <si>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</si>
  <si>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</si>
  <si>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</si>
  <si>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</si>
  <si>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</si>
  <si>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</si>
  <si>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</si>
  <si>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</si>
  <si>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</si>
  <si>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</si>
  <si>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</si>
  <si>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</si>
  <si>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</si>
  <si>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</si>
  <si>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</si>
  <si>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</si>
  <si>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</si>
  <si>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</si>
  <si>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</si>
  <si>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</si>
  <si>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</si>
  <si>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</si>
  <si>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</si>
  <si>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</si>
  <si>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</si>
  <si>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</si>
  <si>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</si>
  <si>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</si>
  <si>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</si>
  <si>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</si>
  <si>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</si>
  <si>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</si>
  <si>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</si>
  <si>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</si>
  <si>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</si>
  <si>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</si>
  <si>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</si>
  <si>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</si>
  <si>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</si>
  <si>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</si>
  <si>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</si>
  <si>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</si>
  <si>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</si>
  <si>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</si>
  <si>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</si>
  <si>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</si>
  <si>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</si>
  <si>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</si>
  <si>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</si>
  <si>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</si>
  <si>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</si>
  <si>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</si>
  <si>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</si>
  <si>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</si>
  <si>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</si>
  <si>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</si>
  <si>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</si>
  <si>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</si>
  <si>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</si>
  <si>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</si>
  <si>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</si>
  <si>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</si>
  <si>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</si>
  <si>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</si>
  <si>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</si>
  <si>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</si>
  <si>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</si>
  <si>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</si>
  <si>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</si>
  <si>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</si>
  <si>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</si>
  <si>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</si>
  <si>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</si>
  <si>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</si>
  <si>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</si>
  <si>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</si>
  <si>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</si>
  <si>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</si>
  <si>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</si>
  <si>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</si>
  <si>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</si>
  <si>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</si>
  <si>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</si>
  <si>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</si>
  <si>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</si>
  <si>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</si>
  <si>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</si>
  <si>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</si>
  <si>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</si>
  <si>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</si>
  <si>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</si>
  <si>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</si>
  <si>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</si>
  <si>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</si>
  <si>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</si>
  <si>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</si>
  <si>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</si>
  <si>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</si>
  <si>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</si>
  <si>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</si>
  <si>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</si>
  <si>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</si>
  <si>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</si>
  <si>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</si>
  <si>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</si>
  <si>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</si>
  <si>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</si>
  <si>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</si>
  <si>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</si>
  <si>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</si>
  <si>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</si>
  <si>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</si>
  <si>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</si>
  <si>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</si>
  <si>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</si>
  <si>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</si>
  <si>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</si>
  <si>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</si>
  <si>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</si>
  <si>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</si>
  <si>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</si>
  <si>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</si>
  <si>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</si>
  <si>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</si>
  <si>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</si>
  <si>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</si>
  <si>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</si>
  <si>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</si>
  <si>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</si>
  <si>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</si>
  <si>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</si>
  <si>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</si>
  <si>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</si>
  <si>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</si>
  <si>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</si>
  <si>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</si>
  <si>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</si>
  <si>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</si>
  <si>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</si>
  <si>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</si>
  <si>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</si>
  <si>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</si>
  <si>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</si>
  <si>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</si>
  <si>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</si>
  <si>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</si>
  <si>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</si>
  <si>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</si>
  <si>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</si>
  <si>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</si>
  <si>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</si>
  <si>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</si>
  <si>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</si>
  <si>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</si>
  <si>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</si>
  <si>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</si>
  <si>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</si>
  <si>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</si>
  <si>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</si>
  <si>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</si>
  <si>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</si>
  <si>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</si>
  <si>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</si>
  <si>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</si>
  <si>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</si>
  <si>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</si>
  <si>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</si>
  <si>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</si>
  <si>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</si>
  <si>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</si>
  <si>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</si>
  <si>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</si>
  <si>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</si>
  <si>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</si>
  <si>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</si>
  <si>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</si>
  <si>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</si>
  <si>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</si>
  <si>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</si>
  <si>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</si>
  <si>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</si>
  <si>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</si>
  <si>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</si>
  <si>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</si>
  <si>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</si>
  <si>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</si>
  <si>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</si>
  <si>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</si>
  <si>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</si>
  <si>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</si>
  <si>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</si>
  <si>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</si>
  <si>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</si>
  <si>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</si>
  <si>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</si>
  <si>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</si>
  <si>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</si>
  <si>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</si>
  <si>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</si>
  <si>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</si>
  <si>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</si>
  <si>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</si>
  <si>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</si>
  <si>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</si>
  <si>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</si>
  <si>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</si>
  <si>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</si>
  <si>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</si>
  <si>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</si>
  <si>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</si>
  <si>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</si>
  <si>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</si>
  <si>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</si>
  <si>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</si>
  <si>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</si>
  <si>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</si>
  <si>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</si>
  <si>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</si>
  <si>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</si>
  <si>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</si>
  <si>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</si>
  <si>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</si>
  <si>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</si>
  <si>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</si>
  <si>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</si>
  <si>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</si>
  <si>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</si>
  <si>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</si>
  <si>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</si>
  <si>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</si>
  <si>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</si>
  <si>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</si>
  <si>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</si>
  <si>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</si>
  <si>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</si>
  <si>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</si>
  <si>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</si>
  <si>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</si>
  <si>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</si>
  <si>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</si>
  <si>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</si>
  <si>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</si>
  <si>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</si>
  <si>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</si>
  <si>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</si>
  <si>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</si>
  <si>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</si>
  <si>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</si>
  <si>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</si>
  <si>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</si>
  <si>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</si>
  <si>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</si>
  <si>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</si>
  <si>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</si>
  <si>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</si>
  <si>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</si>
  <si>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</si>
  <si>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</si>
  <si>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</si>
  <si>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</si>
  <si>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</si>
  <si>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</si>
  <si>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</si>
  <si>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</si>
  <si>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</si>
  <si>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</si>
  <si>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</si>
  <si>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</si>
  <si>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</si>
  <si>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</si>
  <si>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</si>
  <si>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</si>
  <si>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</si>
  <si>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</si>
  <si>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</si>
  <si>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</si>
  <si>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</si>
  <si>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</si>
  <si>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</si>
  <si>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</si>
  <si>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</si>
  <si>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</si>
  <si>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</si>
  <si>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</si>
  <si>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</si>
  <si>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</si>
  <si>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</si>
  <si>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</si>
  <si>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</si>
  <si>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</si>
  <si>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</si>
  <si>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</si>
  <si>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</si>
  <si>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</si>
  <si>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</si>
  <si>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</si>
  <si>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</si>
  <si>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</si>
  <si>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</si>
  <si>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</si>
  <si>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</si>
  <si>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</si>
  <si>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</si>
  <si>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</si>
  <si>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</si>
  <si>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</si>
  <si>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</si>
  <si>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</si>
  <si>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</si>
  <si>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</si>
  <si>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</si>
  <si>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</si>
  <si>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</si>
  <si>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</si>
  <si>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</si>
  <si>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</si>
  <si>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</si>
  <si>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</si>
  <si>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</si>
  <si>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</si>
  <si>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</si>
  <si>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</si>
  <si>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</si>
  <si>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</si>
  <si>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</si>
  <si>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</si>
  <si>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</si>
  <si>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</si>
  <si>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</si>
  <si>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</si>
  <si>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</si>
  <si>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</si>
  <si>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</si>
  <si>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</si>
  <si>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</si>
  <si>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</si>
  <si>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</si>
  <si>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</si>
  <si>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</si>
  <si>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</si>
  <si>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</si>
  <si>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</si>
  <si>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</si>
  <si>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</si>
  <si>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</si>
  <si>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</si>
  <si>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</si>
  <si>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</si>
  <si>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</si>
  <si>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</si>
  <si>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</si>
  <si>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</si>
  <si>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</si>
  <si>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</si>
  <si>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</si>
  <si>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</si>
  <si>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</si>
  <si>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</si>
  <si>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</si>
  <si>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</si>
  <si>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</si>
  <si>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</si>
  <si>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</si>
  <si>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</si>
  <si>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</si>
  <si>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</si>
  <si>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</si>
  <si>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</si>
  <si>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</si>
  <si>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</si>
  <si>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</si>
  <si>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</si>
  <si>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</si>
  <si>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</si>
  <si>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</si>
  <si>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</si>
  <si>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</si>
  <si>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</si>
  <si>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</si>
  <si>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</si>
  <si>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</si>
  <si>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</si>
  <si>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</si>
  <si>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</si>
  <si>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</si>
  <si>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</si>
  <si>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</si>
  <si>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</si>
  <si>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</si>
  <si>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</si>
  <si>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</si>
  <si>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</si>
  <si>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</si>
  <si>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</si>
  <si>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</si>
  <si>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</si>
  <si>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</si>
  <si>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</si>
  <si>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</si>
  <si>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</si>
  <si>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</si>
  <si>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</si>
  <si>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</si>
  <si>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</si>
  <si>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</si>
  <si>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</si>
  <si>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</si>
  <si>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</si>
  <si>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</si>
  <si>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</si>
  <si>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</si>
  <si>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</si>
  <si>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</si>
  <si>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</si>
  <si>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</si>
  <si>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</si>
  <si>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</si>
  <si>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</si>
  <si>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</si>
  <si>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</si>
  <si>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</si>
  <si>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</si>
  <si>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</si>
  <si>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</si>
  <si>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</si>
  <si>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</si>
  <si>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</si>
  <si>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</si>
  <si>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</si>
  <si>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</si>
  <si>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</si>
  <si>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</si>
  <si>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</si>
  <si>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</si>
  <si>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</si>
  <si>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</si>
  <si>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</si>
  <si>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</si>
  <si>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</si>
  <si>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</si>
  <si>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</si>
  <si>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</si>
  <si>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</si>
  <si>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</si>
  <si>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</si>
  <si>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</si>
  <si>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</si>
  <si>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</si>
  <si>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</si>
  <si>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</si>
  <si>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</si>
  <si>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</si>
  <si>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</si>
  <si>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</si>
  <si>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</si>
  <si>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</si>
  <si>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</si>
  <si>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</si>
  <si>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</si>
  <si>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</si>
  <si>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</si>
  <si>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</si>
  <si>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</si>
  <si>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</si>
  <si>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</si>
  <si>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</si>
  <si>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</si>
  <si>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</si>
  <si>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</si>
  <si>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</si>
  <si>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</si>
  <si>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</si>
  <si>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</si>
  <si>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</si>
  <si>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</si>
  <si>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</si>
  <si>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</si>
  <si>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</si>
  <si>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</si>
  <si>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</si>
  <si>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</si>
  <si>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</si>
  <si>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</si>
  <si>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</si>
  <si>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</si>
  <si>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</si>
  <si>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</si>
  <si>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</si>
  <si>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</si>
  <si>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</si>
  <si>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</si>
  <si>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</si>
  <si>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</si>
  <si>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</si>
  <si>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</si>
  <si>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</si>
  <si>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</si>
  <si>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</si>
  <si>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</si>
  <si>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</si>
  <si>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</si>
  <si>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</si>
  <si>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</si>
  <si>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</si>
  <si>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</si>
  <si>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</si>
  <si>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</si>
  <si>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</si>
  <si>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</si>
  <si>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</si>
  <si>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</si>
  <si>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</si>
  <si>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</si>
  <si>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</si>
  <si>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</si>
  <si>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</si>
  <si>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</si>
  <si>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</si>
  <si>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</si>
  <si>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</si>
  <si>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</si>
  <si>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</si>
  <si>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</si>
  <si>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</si>
  <si>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</si>
  <si>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</si>
  <si>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</si>
  <si>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</si>
  <si>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</si>
  <si>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</si>
  <si>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</si>
  <si>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</si>
  <si>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</si>
  <si>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</si>
  <si>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</si>
  <si>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</si>
  <si>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</si>
  <si>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</si>
  <si>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</si>
  <si>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</si>
  <si>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</si>
  <si>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</si>
  <si>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</si>
  <si>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</si>
  <si>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</si>
  <si>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</si>
  <si>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</si>
  <si>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</si>
  <si>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</si>
  <si>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</si>
  <si>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</si>
  <si>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</si>
  <si>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</si>
  <si>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</si>
  <si>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</si>
  <si>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</si>
  <si>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</si>
  <si>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</si>
  <si>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</si>
  <si>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</si>
  <si>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</si>
  <si>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</si>
  <si>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</si>
  <si>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</si>
  <si>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</si>
  <si>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</si>
  <si>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</si>
  <si>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</si>
  <si>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</si>
  <si>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</si>
  <si>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</si>
  <si>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</si>
  <si>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</si>
  <si>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</si>
  <si>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</si>
  <si>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</si>
  <si>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</si>
  <si>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</si>
  <si>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</si>
  <si>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</si>
  <si>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</si>
  <si>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</si>
  <si>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</si>
  <si>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</si>
  <si>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</si>
  <si>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</si>
  <si>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</si>
  <si>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</si>
  <si>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</si>
  <si>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</si>
  <si>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</si>
  <si>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</si>
  <si>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</si>
  <si>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</si>
  <si>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</si>
  <si>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</si>
  <si>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</si>
  <si>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</si>
  <si>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</si>
  <si>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</si>
  <si>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</si>
  <si>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</si>
  <si>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</si>
  <si>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</si>
  <si>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</si>
  <si>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</si>
  <si>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</si>
  <si>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</si>
  <si>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</si>
  <si>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</si>
  <si>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</si>
  <si>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</si>
  <si>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</si>
  <si>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</si>
  <si>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</si>
  <si>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</si>
  <si>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</si>
  <si>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</si>
  <si>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</si>
  <si>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</si>
  <si>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</si>
  <si>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</si>
  <si>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</si>
  <si>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</si>
  <si>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</si>
  <si>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</si>
  <si>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</si>
  <si>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</si>
  <si>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</si>
  <si>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</si>
  <si>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</si>
  <si>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</si>
  <si>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</si>
  <si>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</si>
  <si>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</si>
  <si>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</si>
  <si>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</si>
  <si>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</si>
  <si>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</si>
  <si>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</si>
  <si>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</si>
  <si>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</si>
  <si>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</si>
  <si>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</si>
  <si>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</si>
  <si>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</si>
  <si>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</si>
  <si>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</si>
  <si>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</si>
  <si>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</si>
  <si>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</si>
  <si>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</si>
  <si>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</si>
  <si>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</si>
  <si>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</si>
  <si>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</si>
  <si>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</si>
  <si>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</si>
  <si>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</si>
  <si>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</si>
  <si>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</si>
  <si>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</si>
  <si>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</si>
  <si>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</si>
  <si>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</si>
  <si>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</si>
  <si>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</si>
  <si>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</si>
  <si>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</si>
  <si>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</si>
  <si>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</si>
  <si>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</si>
  <si>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</si>
  <si>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</si>
  <si>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</si>
  <si>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</si>
  <si>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</si>
  <si>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</si>
  <si>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</si>
  <si>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</si>
  <si>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</si>
  <si>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</si>
  <si>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</si>
  <si>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</si>
  <si>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</si>
  <si>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</si>
  <si>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</si>
  <si>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</si>
  <si>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</si>
  <si>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</si>
  <si>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</si>
  <si>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</si>
  <si>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</si>
  <si>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</si>
  <si>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</si>
  <si>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</si>
  <si>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</si>
  <si>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</si>
  <si>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</si>
  <si>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</si>
  <si>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</si>
  <si>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</si>
  <si>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</si>
  <si>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</si>
  <si>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</si>
  <si>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</si>
  <si>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</si>
  <si>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</si>
  <si>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</si>
  <si>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</si>
  <si>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</si>
  <si>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</si>
  <si>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</si>
  <si>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</si>
  <si>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</si>
  <si>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</si>
  <si>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</si>
  <si>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</si>
  <si>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</si>
  <si>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</si>
  <si>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</si>
  <si>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</si>
  <si>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</si>
  <si>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</si>
  <si>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</si>
  <si>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</si>
  <si>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</si>
  <si>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</si>
  <si>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</si>
  <si>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</si>
  <si>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</si>
  <si>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</si>
  <si>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</si>
  <si>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</si>
  <si>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</si>
  <si>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</si>
  <si>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</si>
  <si>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</si>
  <si>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</si>
  <si>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</si>
  <si>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</si>
  <si>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</si>
  <si>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</si>
  <si>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</si>
  <si>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</si>
  <si>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</si>
  <si>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</si>
  <si>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</si>
  <si>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</si>
  <si>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</si>
  <si>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</si>
  <si>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</si>
  <si>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</si>
  <si>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</si>
  <si>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</si>
  <si>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</si>
  <si>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</si>
  <si>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</si>
  <si>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</si>
  <si>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</si>
  <si>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</si>
  <si>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</si>
  <si>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</si>
  <si>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</si>
  <si>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</si>
  <si>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</si>
  <si>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</si>
  <si>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</si>
  <si>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</si>
  <si>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</si>
  <si>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</si>
  <si>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</si>
  <si>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</si>
  <si>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</si>
  <si>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</si>
  <si>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</si>
  <si>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</si>
  <si>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</si>
  <si>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</si>
  <si>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</si>
  <si>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</si>
  <si>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</si>
  <si>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</si>
  <si>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</si>
  <si>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</si>
  <si>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</si>
  <si>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</si>
  <si>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</si>
  <si>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</si>
  <si>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</si>
  <si>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</si>
  <si>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</si>
  <si>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</si>
  <si>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</si>
  <si>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</si>
  <si>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</si>
  <si>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</si>
  <si>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</si>
  <si>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</si>
  <si>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</si>
  <si>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</si>
  <si>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</si>
  <si>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</si>
  <si>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</si>
  <si>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</si>
  <si>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</si>
  <si>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</si>
  <si>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</si>
  <si>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</si>
  <si>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</si>
  <si>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</si>
  <si>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</si>
  <si>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</si>
  <si>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</si>
  <si>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</si>
  <si>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</si>
  <si>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</si>
  <si>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</si>
  <si>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</si>
  <si>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</si>
  <si>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</si>
  <si>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</si>
  <si>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</si>
  <si>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</si>
  <si>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</si>
  <si>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</si>
  <si>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</si>
  <si>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</si>
  <si>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</si>
  <si>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</si>
  <si>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</si>
  <si>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</si>
  <si>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</si>
  <si>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</si>
  <si>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</si>
  <si>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</si>
  <si>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</si>
  <si>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</si>
  <si>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</si>
  <si>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</si>
  <si>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</si>
  <si>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</si>
  <si>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</si>
  <si>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</si>
  <si>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</si>
  <si>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</si>
  <si>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</si>
  <si>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</si>
  <si>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</si>
  <si>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</si>
  <si>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</si>
  <si>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</si>
  <si>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</si>
  <si>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</si>
  <si>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</si>
  <si>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</si>
  <si>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</si>
  <si>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</si>
  <si>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</si>
  <si>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</si>
  <si>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</si>
  <si>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</si>
  <si>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</si>
  <si>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</si>
  <si>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</si>
  <si>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</si>
  <si>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</si>
  <si>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</si>
  <si>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</si>
  <si>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</si>
  <si>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</si>
  <si>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</si>
  <si>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</si>
  <si>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</si>
  <si>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</si>
  <si>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</si>
  <si>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</si>
  <si>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</si>
  <si>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</si>
  <si>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</si>
  <si>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</si>
  <si>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</si>
  <si>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</si>
  <si>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</si>
  <si>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</si>
  <si>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</si>
  <si>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</si>
  <si>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</si>
  <si>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</si>
  <si>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</si>
  <si>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</si>
  <si>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</si>
  <si>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</si>
  <si>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</si>
  <si>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</si>
  <si>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</si>
  <si>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</si>
  <si>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</si>
  <si>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</si>
  <si>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</si>
  <si>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</si>
  <si>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</si>
  <si>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</si>
  <si>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</si>
  <si>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</si>
  <si>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</si>
  <si>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</si>
  <si>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</si>
  <si>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</si>
  <si>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</si>
  <si>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</si>
  <si>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</si>
  <si>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</si>
  <si>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</si>
  <si>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</si>
  <si>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</si>
  <si>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</si>
  <si>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</si>
  <si>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</si>
  <si>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</si>
  <si>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</si>
  <si>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</si>
  <si>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</si>
  <si>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</si>
  <si>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</si>
  <si>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</si>
  <si>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</si>
  <si>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</si>
  <si>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</si>
  <si>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</si>
  <si>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</si>
  <si>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</si>
  <si>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</si>
  <si>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</si>
  <si>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</si>
  <si>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</si>
  <si>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</si>
  <si>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</si>
  <si>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</si>
  <si>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</si>
  <si>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</si>
  <si>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</si>
  <si>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</si>
  <si>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</si>
  <si>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</si>
  <si>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</si>
  <si>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</si>
  <si>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</si>
  <si>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</si>
  <si>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</si>
  <si>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</si>
  <si>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</si>
  <si>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</si>
  <si>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</si>
  <si>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</si>
  <si>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</si>
  <si>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</si>
  <si>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</si>
  <si>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</si>
  <si>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</si>
  <si>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</si>
  <si>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</si>
  <si>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</si>
  <si>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</si>
  <si>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</si>
  <si>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</si>
  <si>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</si>
  <si>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</si>
  <si>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</si>
  <si>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</si>
  <si>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</si>
  <si>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</si>
  <si>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</si>
  <si>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</si>
  <si>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</si>
  <si>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</si>
  <si>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</si>
  <si>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</si>
  <si>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</si>
  <si>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</si>
  <si>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</si>
  <si>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</si>
  <si>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</si>
  <si>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</si>
  <si>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</si>
  <si>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</si>
  <si>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</si>
  <si>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</si>
  <si>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</si>
  <si>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</si>
  <si>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</si>
  <si>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</si>
  <si>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</si>
  <si>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</si>
  <si>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</si>
  <si>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</si>
  <si>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</si>
  <si>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</si>
  <si>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</si>
  <si>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</si>
  <si>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</si>
  <si>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</si>
  <si>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</si>
  <si>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</si>
  <si>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</si>
  <si>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</si>
  <si>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</si>
  <si>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</si>
  <si>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</si>
  <si>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</si>
  <si>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</si>
  <si>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</si>
  <si>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</si>
  <si>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</si>
  <si>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</si>
  <si>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</si>
  <si>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</si>
  <si>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</si>
  <si>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</si>
  <si>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</si>
  <si>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</si>
  <si>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</si>
  <si>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</si>
  <si>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</si>
  <si>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</si>
  <si>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</si>
  <si>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</si>
  <si>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</si>
  <si>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</si>
  <si>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</si>
  <si>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</si>
  <si>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</si>
  <si>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</si>
  <si>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</si>
  <si>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</si>
  <si>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</si>
  <si>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</si>
  <si>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</si>
  <si>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</si>
  <si>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</si>
  <si>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</si>
  <si>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</si>
  <si>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</si>
  <si>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</si>
  <si>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</si>
  <si>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</si>
  <si>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</si>
  <si>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</si>
  <si>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</si>
  <si>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</si>
  <si>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</si>
  <si>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</si>
  <si>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</si>
  <si>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</si>
  <si>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</si>
  <si>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</si>
  <si>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</si>
  <si>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</si>
  <si>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</si>
  <si>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</si>
  <si>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</si>
  <si>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</si>
  <si>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</si>
  <si>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</si>
  <si>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</si>
  <si>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</si>
  <si>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</si>
  <si>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</si>
  <si>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</si>
  <si>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</si>
  <si>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</si>
  <si>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</si>
  <si>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</si>
  <si>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</si>
  <si>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</si>
  <si>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</si>
  <si>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</si>
  <si>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</si>
  <si>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</si>
  <si>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</si>
  <si>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</si>
  <si>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</si>
  <si>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</si>
  <si>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</si>
  <si>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</si>
  <si>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</si>
  <si>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</si>
  <si>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</si>
  <si>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</si>
  <si>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</si>
  <si>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</si>
  <si>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</si>
  <si>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</si>
  <si>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</si>
  <si>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</si>
  <si>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</si>
  <si>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</si>
  <si>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</si>
  <si>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</si>
  <si>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</si>
  <si>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</si>
  <si>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</si>
  <si>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</si>
  <si>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</si>
  <si>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</si>
  <si>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</si>
  <si>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</si>
  <si>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</si>
  <si>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</si>
  <si>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</si>
  <si>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</si>
  <si>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</si>
  <si>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</si>
  <si>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</si>
  <si>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</si>
  <si>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</si>
  <si>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</si>
  <si>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</si>
  <si>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</si>
  <si>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</si>
  <si>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</si>
  <si>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</si>
  <si>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</si>
  <si>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</si>
  <si>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</si>
  <si>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</si>
  <si>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</si>
  <si>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</si>
  <si>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</si>
  <si>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</si>
  <si>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</si>
  <si>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</si>
  <si>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</si>
  <si>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</si>
  <si>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</si>
  <si>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</si>
  <si>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</si>
  <si>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</si>
  <si>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</si>
  <si>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</si>
  <si>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</si>
  <si>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</si>
  <si>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</si>
  <si>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</si>
  <si>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</si>
  <si>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</si>
  <si>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</si>
  <si>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</si>
  <si>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</si>
  <si>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</si>
  <si>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</si>
  <si>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</si>
  <si>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</si>
  <si>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</si>
  <si>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</si>
  <si>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</si>
  <si>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</si>
  <si>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</si>
  <si>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</si>
  <si>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</si>
  <si>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</si>
  <si>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</si>
  <si>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</si>
  <si>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</si>
  <si>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</si>
  <si>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</si>
  <si>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</si>
  <si>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</si>
  <si>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</si>
  <si>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</si>
  <si>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</si>
  <si>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</si>
  <si>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</si>
  <si>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</si>
  <si>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</si>
  <si>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</si>
  <si>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</si>
  <si>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</si>
  <si>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</si>
  <si>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</si>
  <si>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</si>
  <si>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</si>
  <si>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</si>
  <si>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</si>
  <si>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</si>
  <si>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</si>
  <si>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</si>
  <si>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</si>
  <si>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</si>
  <si>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</si>
  <si>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</si>
  <si>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</si>
  <si>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</si>
  <si>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</si>
  <si>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</si>
  <si>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</si>
  <si>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</si>
  <si>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</si>
  <si>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</si>
  <si>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</si>
  <si>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</si>
  <si>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</si>
  <si>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</si>
  <si>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</si>
  <si>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</si>
  <si>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</si>
  <si>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</si>
  <si>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</si>
  <si>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</si>
  <si>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</si>
  <si>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</si>
  <si>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</si>
  <si>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</si>
  <si>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</si>
  <si>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</si>
  <si>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</si>
  <si>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</si>
  <si>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</si>
  <si>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</si>
  <si>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</si>
  <si>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</si>
  <si>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</si>
  <si>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</si>
  <si>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</si>
  <si>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</si>
  <si>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</si>
  <si>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</si>
  <si>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</si>
  <si>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</si>
  <si>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</si>
  <si>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</si>
  <si>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</si>
  <si>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</si>
  <si>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</si>
  <si>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</si>
  <si>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</si>
  <si>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</si>
  <si>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</si>
  <si>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</si>
  <si>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</si>
  <si>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</si>
  <si>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</si>
  <si>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</si>
  <si>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</si>
  <si>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</si>
  <si>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</si>
  <si>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</si>
  <si>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</si>
  <si>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</si>
  <si>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</si>
  <si>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</si>
  <si>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</si>
  <si>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</si>
  <si>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</si>
  <si>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</si>
  <si>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</si>
  <si>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</si>
  <si>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</si>
  <si>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</si>
  <si>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</si>
  <si>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</si>
  <si>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</si>
  <si>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</si>
  <si>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</si>
  <si>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</si>
  <si>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</si>
  <si>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</si>
  <si>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</si>
  <si>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</si>
  <si>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</si>
  <si>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</si>
  <si>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</si>
  <si>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</si>
  <si>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</si>
  <si>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</si>
  <si>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</si>
  <si>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</si>
  <si>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</si>
  <si>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</si>
  <si>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</si>
  <si>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</si>
  <si>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</si>
  <si>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</si>
  <si>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</si>
  <si>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</si>
  <si>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</si>
  <si>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</si>
  <si>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</si>
  <si>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</si>
  <si>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</si>
  <si>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</si>
  <si>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</si>
  <si>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</si>
  <si>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</si>
  <si>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</si>
  <si>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</si>
  <si>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</si>
  <si>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</si>
  <si>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</si>
  <si>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</si>
  <si>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</si>
  <si>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</si>
  <si>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</si>
  <si>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</si>
  <si>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</si>
  <si>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</si>
  <si>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</si>
  <si>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</si>
  <si>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</si>
  <si>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</si>
  <si>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</si>
  <si>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</si>
  <si>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</si>
  <si>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</si>
  <si>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</si>
  <si>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</si>
  <si>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</si>
  <si>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</si>
  <si>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</si>
  <si>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</si>
  <si>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</si>
  <si>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</si>
  <si>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</si>
  <si>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</si>
  <si>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</si>
  <si>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</si>
  <si>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</si>
  <si>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</si>
  <si>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</si>
  <si>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</si>
  <si>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</si>
  <si>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</si>
  <si>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</si>
  <si>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</si>
  <si>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</si>
  <si>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</si>
  <si>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</si>
  <si>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</si>
  <si>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</si>
  <si>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</si>
  <si>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</si>
  <si>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</si>
  <si>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</si>
  <si>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</si>
  <si>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</si>
  <si>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</si>
  <si>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</si>
  <si>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</si>
  <si>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</si>
  <si>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</si>
  <si>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</si>
  <si>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</si>
  <si>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</si>
  <si>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</si>
  <si>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</si>
  <si>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</si>
  <si>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</si>
  <si>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</si>
  <si>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</si>
  <si>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</si>
  <si>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</si>
  <si>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</si>
  <si>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</si>
  <si>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</si>
  <si>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</si>
  <si>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</si>
  <si>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</si>
  <si>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</si>
  <si>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</si>
  <si>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</si>
  <si>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</si>
  <si>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</si>
  <si>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</si>
  <si>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</si>
  <si>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</si>
  <si>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</si>
  <si>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</si>
  <si>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</si>
  <si>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</si>
  <si>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</si>
  <si>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</si>
  <si>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</si>
  <si>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</si>
  <si>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</si>
  <si>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</si>
  <si>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</si>
  <si>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</si>
  <si>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</si>
  <si>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</si>
  <si>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</si>
  <si>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</si>
  <si>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</si>
  <si>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</si>
  <si>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</si>
  <si>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</si>
  <si>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</si>
  <si>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</si>
  <si>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</si>
  <si>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</si>
  <si>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</si>
  <si>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</si>
  <si>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</si>
  <si>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</si>
  <si>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</si>
  <si>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</si>
  <si>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</si>
  <si>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</si>
  <si>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</si>
  <si>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</si>
  <si>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</si>
  <si>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</si>
  <si>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</si>
  <si>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</si>
  <si>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</si>
  <si>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</si>
  <si>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</si>
  <si>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</si>
  <si>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</si>
  <si>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</si>
  <si>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</si>
  <si>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</si>
  <si>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</si>
  <si>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</si>
  <si>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</si>
  <si>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</si>
  <si>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</si>
  <si>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</si>
  <si>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</si>
  <si>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</si>
  <si>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</si>
  <si>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</si>
  <si>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</si>
  <si>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</si>
  <si>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</si>
  <si>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</si>
  <si>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</si>
  <si>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</si>
  <si>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</si>
  <si>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</si>
  <si>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</si>
  <si>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</si>
  <si>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</si>
  <si>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</si>
  <si>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</si>
  <si>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</si>
  <si>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</si>
  <si>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</si>
  <si>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</si>
  <si>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</si>
  <si>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</si>
  <si>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</si>
  <si>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</si>
  <si>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</si>
  <si>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</si>
  <si>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</si>
  <si>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</si>
  <si>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</si>
  <si>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</si>
  <si>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</si>
  <si>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</si>
  <si>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</si>
  <si>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</si>
  <si>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</si>
  <si>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</si>
  <si>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</si>
  <si>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</si>
  <si>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</si>
  <si>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</si>
  <si>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</si>
  <si>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</si>
  <si>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</si>
  <si>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</si>
  <si>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</si>
  <si>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</si>
  <si>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</si>
  <si>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</si>
  <si>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</si>
  <si>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</si>
  <si>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</si>
  <si>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</si>
  <si>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</si>
  <si>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</si>
  <si>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</si>
  <si>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</si>
  <si>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</si>
  <si>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</si>
  <si>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</si>
  <si>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</si>
  <si>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</si>
  <si>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</si>
  <si>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</si>
  <si>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</si>
  <si>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</si>
  <si>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</si>
  <si>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</si>
  <si>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</si>
  <si>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</si>
  <si>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</si>
  <si>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</si>
  <si>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</si>
  <si>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</si>
  <si>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</si>
  <si>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</si>
  <si>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</si>
  <si>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</si>
  <si>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</si>
  <si>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</si>
  <si>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</si>
  <si>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</si>
  <si>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</si>
  <si>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</si>
  <si>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</si>
  <si>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</si>
  <si>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</si>
  <si>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</si>
  <si>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</si>
  <si>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</si>
  <si>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</si>
  <si>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</si>
  <si>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</si>
  <si>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</si>
  <si>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</si>
  <si>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</si>
  <si>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</si>
  <si>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</si>
  <si>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</si>
  <si>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</si>
  <si>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</si>
  <si>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</si>
  <si>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</si>
  <si>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</si>
  <si>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</si>
  <si>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</si>
  <si>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</si>
  <si>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</si>
  <si>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</si>
  <si>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</si>
  <si>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</si>
  <si>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</si>
  <si>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</si>
  <si>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</si>
  <si>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</si>
  <si>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</si>
  <si>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</si>
  <si>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</si>
  <si>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</si>
  <si>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</si>
  <si>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</si>
  <si>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</si>
  <si>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</si>
  <si>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</si>
  <si>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</si>
  <si>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</si>
  <si>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</si>
  <si>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</si>
  <si>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</si>
  <si>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</si>
  <si>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</si>
  <si>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</si>
  <si>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</si>
  <si>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</si>
  <si>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</si>
  <si>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</si>
  <si>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</si>
  <si>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</si>
  <si>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</si>
  <si>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</si>
  <si>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</si>
  <si>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</si>
  <si>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</si>
  <si>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</si>
  <si>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</si>
  <si>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</si>
  <si>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</si>
  <si>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</si>
  <si>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</si>
  <si>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</si>
  <si>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</si>
  <si>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</si>
  <si>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</si>
  <si>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</si>
  <si>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</si>
  <si>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</si>
  <si>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</si>
  <si>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</si>
  <si>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</si>
  <si>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</si>
  <si>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</si>
  <si>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</si>
  <si>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</si>
  <si>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</si>
  <si>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</si>
  <si>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</si>
  <si>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</si>
  <si>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</si>
  <si>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</si>
  <si>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</si>
  <si>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</si>
  <si>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</si>
  <si>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</si>
  <si>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</si>
  <si>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</si>
  <si>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</si>
  <si>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</si>
  <si>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</si>
  <si>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</si>
  <si>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</si>
  <si>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</si>
  <si>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</si>
  <si>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</si>
  <si>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</si>
  <si>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</si>
  <si>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</si>
  <si>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</si>
  <si>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</si>
  <si>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</si>
  <si>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</si>
  <si>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</si>
  <si>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</si>
  <si>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</si>
  <si>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</si>
  <si>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</si>
  <si>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</si>
  <si>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</si>
  <si>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</si>
  <si>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</si>
  <si>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</si>
  <si>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</si>
  <si>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</si>
  <si>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</si>
  <si>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</si>
  <si>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</si>
  <si>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</si>
  <si>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</si>
  <si>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</si>
  <si>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</si>
  <si>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</si>
  <si>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</si>
  <si>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</si>
  <si>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</si>
  <si>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</si>
  <si>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</si>
  <si>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</si>
  <si>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</si>
  <si>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</si>
  <si>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</si>
  <si>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</si>
  <si>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</si>
  <si>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</si>
  <si>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</si>
  <si>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</si>
  <si>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</si>
  <si>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</si>
  <si>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</si>
  <si>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</si>
  <si>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</si>
  <si>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</si>
  <si>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</si>
  <si>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</si>
  <si>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</si>
  <si>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</si>
  <si>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</si>
  <si>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</si>
  <si>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</si>
  <si>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</si>
  <si>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</si>
  <si>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</si>
  <si>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</si>
  <si>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</si>
  <si>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</si>
  <si>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</si>
  <si>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</si>
  <si>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</si>
  <si>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</si>
  <si>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</si>
  <si>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</si>
  <si>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</si>
  <si>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</si>
  <si>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</si>
  <si>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</si>
  <si>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</si>
  <si>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</si>
  <si>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</si>
  <si>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</si>
  <si>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</si>
  <si>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</si>
  <si>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</si>
  <si>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</si>
  <si>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</si>
  <si>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</si>
  <si>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</si>
  <si>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</si>
  <si>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</si>
  <si>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</si>
  <si>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</si>
  <si>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</si>
  <si>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</si>
  <si>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</si>
  <si>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</si>
  <si>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</si>
  <si>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</si>
  <si>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</si>
  <si>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</si>
  <si>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</si>
  <si>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</si>
  <si>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</si>
  <si>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</si>
  <si>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</si>
  <si>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</si>
  <si>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</si>
  <si>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</si>
  <si>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</si>
  <si>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</si>
  <si>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</si>
  <si>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</si>
  <si>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</si>
  <si>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</si>
  <si>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</si>
  <si>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</si>
  <si>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</si>
  <si>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</si>
  <si>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</si>
  <si>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</si>
  <si>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</si>
  <si>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</si>
  <si>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</si>
  <si>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</si>
  <si>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</si>
  <si>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</si>
  <si>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</si>
  <si>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</si>
  <si>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</si>
  <si>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</si>
  <si>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</si>
  <si>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</si>
  <si>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</si>
  <si>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</si>
  <si>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</si>
  <si>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</si>
  <si>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</si>
  <si>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</si>
  <si>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</si>
  <si>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</si>
  <si>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</si>
  <si>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</si>
  <si>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</si>
  <si>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</si>
  <si>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</si>
  <si>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</si>
  <si>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</si>
  <si>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</si>
  <si>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</si>
  <si>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</si>
  <si>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</si>
  <si>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</si>
  <si>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</si>
  <si>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</si>
  <si>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</si>
  <si>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</si>
  <si>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</si>
  <si>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</si>
  <si>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</si>
  <si>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</si>
  <si>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</si>
  <si>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</si>
  <si>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</si>
  <si>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</si>
  <si>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</si>
  <si>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</si>
  <si>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</si>
  <si>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</si>
  <si>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</si>
  <si>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</si>
  <si>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</si>
  <si>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</si>
  <si>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</si>
  <si>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</si>
  <si>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</si>
  <si>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</si>
  <si>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</si>
  <si>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</si>
  <si>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</si>
  <si>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</si>
  <si>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</si>
  <si>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</si>
  <si>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</si>
  <si>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</si>
  <si>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</si>
  <si>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</si>
  <si>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</si>
  <si>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</si>
  <si>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</si>
  <si>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</si>
  <si>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</si>
  <si>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</si>
  <si>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</si>
  <si>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</si>
  <si>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</si>
  <si>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</si>
  <si>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</si>
  <si>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</si>
  <si>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</si>
  <si>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</si>
  <si>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</si>
  <si>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</si>
  <si>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</si>
  <si>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</si>
  <si>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</si>
  <si>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</si>
  <si>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</si>
  <si>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</si>
  <si>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</si>
  <si>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</si>
  <si>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</si>
  <si>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</si>
  <si>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</si>
  <si>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</si>
  <si>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</si>
  <si>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</si>
  <si>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</si>
  <si>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</si>
  <si>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</si>
  <si>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</si>
  <si>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</si>
  <si>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</si>
  <si>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</si>
  <si>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</si>
  <si>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</si>
  <si>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</si>
  <si>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</si>
  <si>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</si>
  <si>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</si>
  <si>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</si>
  <si>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</si>
  <si>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</si>
  <si>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</si>
  <si>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</si>
  <si>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</si>
  <si>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</si>
  <si>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</si>
  <si>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</si>
  <si>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</si>
  <si>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</si>
  <si>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</si>
  <si>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</si>
  <si>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</si>
  <si>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</si>
  <si>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</si>
  <si>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</si>
  <si>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</si>
  <si>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</si>
  <si>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</si>
  <si>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</si>
  <si>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</si>
  <si>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</si>
  <si>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</si>
  <si>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</si>
  <si>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</si>
  <si>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</si>
  <si>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</si>
  <si>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</si>
  <si>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</si>
  <si>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</si>
  <si>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</si>
  <si>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</si>
  <si>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</si>
  <si>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</si>
  <si>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</si>
  <si>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</si>
  <si>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</si>
  <si>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</si>
  <si>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</si>
  <si>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</si>
  <si>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</si>
  <si>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</si>
  <si>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</si>
  <si>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</si>
  <si>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</si>
  <si>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</si>
  <si>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</si>
  <si>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</si>
  <si>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</si>
  <si>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</si>
  <si>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</si>
  <si>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</si>
  <si>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</si>
  <si>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</si>
  <si>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</si>
  <si>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</si>
  <si>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</si>
  <si>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</si>
  <si>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</si>
  <si>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</si>
  <si>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</si>
  <si>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</si>
  <si>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</si>
  <si>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</si>
  <si>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</si>
  <si>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</si>
  <si>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</si>
  <si>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</si>
  <si>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</si>
  <si>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</si>
  <si>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</si>
  <si>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</si>
  <si>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</si>
  <si>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</si>
  <si>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</si>
  <si>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</si>
  <si>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</si>
  <si>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</si>
  <si>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</si>
  <si>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</si>
  <si>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</si>
  <si>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</si>
  <si>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</si>
  <si>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</si>
  <si>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</si>
  <si>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</si>
  <si>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</si>
  <si>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</si>
  <si>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</si>
  <si>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</si>
  <si>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</si>
  <si>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</si>
  <si>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</si>
  <si>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</si>
  <si>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</si>
  <si>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</si>
  <si>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</si>
  <si>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</si>
  <si>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</si>
  <si>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</si>
  <si>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</si>
  <si>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</si>
  <si>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</si>
  <si>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</si>
  <si>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</si>
  <si>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</si>
  <si>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</si>
  <si>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</si>
  <si>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</si>
  <si>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</si>
  <si>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</si>
  <si>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</si>
  <si>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</si>
  <si>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</si>
  <si>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</si>
  <si>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</si>
  <si>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</si>
  <si>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</si>
  <si>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</si>
  <si>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</si>
  <si>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</si>
  <si>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</si>
  <si>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</si>
  <si>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</si>
  <si>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</si>
  <si>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</si>
  <si>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</si>
  <si>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</si>
  <si>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</si>
  <si>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</si>
  <si>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</si>
  <si>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</si>
  <si>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</si>
  <si>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</si>
  <si>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</si>
  <si>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</si>
  <si>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</si>
  <si>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</si>
  <si>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</si>
  <si>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</si>
  <si>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</si>
  <si>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</si>
  <si>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</si>
  <si>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</si>
  <si>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</si>
  <si>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</si>
  <si>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</si>
  <si>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</si>
  <si>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</si>
  <si>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</si>
  <si>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</si>
  <si>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</si>
  <si>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</si>
  <si>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</si>
  <si>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</si>
  <si>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</si>
  <si>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</si>
  <si>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</si>
  <si>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</si>
  <si>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</si>
  <si>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</si>
  <si>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</si>
  <si>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</si>
  <si>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</si>
  <si>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</si>
  <si>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</si>
  <si>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</si>
  <si>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</si>
  <si>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</si>
  <si>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</si>
  <si>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</si>
  <si>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</si>
  <si>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</si>
  <si>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</si>
  <si>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</si>
  <si>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</si>
  <si>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</si>
  <si>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</si>
  <si>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</si>
  <si>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</si>
  <si>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</si>
  <si>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</si>
  <si>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</si>
  <si>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</si>
  <si>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</si>
  <si>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</si>
  <si>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</si>
  <si>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</si>
  <si>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</si>
  <si>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</si>
  <si>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</si>
  <si>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</si>
  <si>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</si>
  <si>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</si>
  <si>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</si>
  <si>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</si>
  <si>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</si>
  <si>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</si>
  <si>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</si>
  <si>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</si>
  <si>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</si>
  <si>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</si>
  <si>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</si>
  <si>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</si>
  <si>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</si>
  <si>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</si>
  <si>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</si>
  <si>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</si>
  <si>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</si>
  <si>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</si>
  <si>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</si>
  <si>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</si>
  <si>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</si>
  <si>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</si>
  <si>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</si>
  <si>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</si>
  <si>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</si>
  <si>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</si>
  <si>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</si>
  <si>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</si>
  <si>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</si>
  <si>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</si>
  <si>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</si>
  <si>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</si>
  <si>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</si>
  <si>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</si>
  <si>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</si>
  <si>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</si>
  <si>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</si>
  <si>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</si>
  <si>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</si>
  <si>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</si>
  <si>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</si>
  <si>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</si>
  <si>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</si>
  <si>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</si>
  <si>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</si>
  <si>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</si>
  <si>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</si>
  <si>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</si>
  <si>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</si>
  <si>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</si>
  <si>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</si>
  <si>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</si>
  <si>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</si>
  <si>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</si>
  <si>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</si>
  <si>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</si>
  <si>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</si>
  <si>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</si>
  <si>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</si>
  <si>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</si>
  <si>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</si>
  <si>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</si>
  <si>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</si>
  <si>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</si>
  <si>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</si>
  <si>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</si>
  <si>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</si>
  <si>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</si>
  <si>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</si>
  <si>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</si>
  <si>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</si>
  <si>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</si>
  <si>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</si>
  <si>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</si>
  <si>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</si>
  <si>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</si>
  <si>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</si>
  <si>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</si>
  <si>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</si>
  <si>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</si>
  <si>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</si>
  <si>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</si>
  <si>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</si>
  <si>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</si>
  <si>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</si>
  <si>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</si>
  <si>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</si>
  <si>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</si>
  <si>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</si>
  <si>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</si>
  <si>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</si>
  <si>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</si>
  <si>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</si>
  <si>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</si>
  <si>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</si>
  <si>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</si>
  <si>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</si>
  <si>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</si>
  <si>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</si>
  <si>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</si>
  <si>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</si>
  <si>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</si>
  <si>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</si>
  <si>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</si>
  <si>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</si>
  <si>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</si>
  <si>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</si>
  <si>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</si>
  <si>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</si>
  <si>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</si>
  <si>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</si>
  <si>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</si>
  <si>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</si>
  <si>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</si>
  <si>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</si>
  <si>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</si>
  <si>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</si>
  <si>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</si>
  <si>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</si>
  <si>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</si>
  <si>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</si>
  <si>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</si>
  <si>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</si>
  <si>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</si>
  <si>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</si>
  <si>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</si>
  <si>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</si>
  <si>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</si>
  <si>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</si>
  <si>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</si>
  <si>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</si>
  <si>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</si>
  <si>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</si>
  <si>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</si>
  <si>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</si>
  <si>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</si>
  <si>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</si>
  <si>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</si>
  <si>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</si>
  <si>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</si>
  <si>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</si>
  <si>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</si>
  <si>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</si>
  <si>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</si>
  <si>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</si>
  <si>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</si>
  <si>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</si>
  <si>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</si>
  <si>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</si>
  <si>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</si>
  <si>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</si>
  <si>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</si>
  <si>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</si>
  <si>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</si>
  <si>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</si>
  <si>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</si>
  <si>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</si>
  <si>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</si>
  <si>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</si>
  <si>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</si>
  <si>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</si>
  <si>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</si>
  <si>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</si>
  <si>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</si>
  <si>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</si>
  <si>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</si>
  <si>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</si>
  <si>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</si>
  <si>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</si>
  <si>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</si>
  <si>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</si>
  <si>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</si>
  <si>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</si>
  <si>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</si>
  <si>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</si>
  <si>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</si>
  <si>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</si>
  <si>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</si>
  <si>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</si>
  <si>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</si>
  <si>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</si>
  <si>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</si>
  <si>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</si>
  <si>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</si>
  <si>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</si>
  <si>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</si>
  <si>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</si>
  <si>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</si>
  <si>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</si>
  <si>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</si>
  <si>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</si>
  <si>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</si>
  <si>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</si>
  <si>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</si>
  <si>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</si>
  <si>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</si>
  <si>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</si>
  <si>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</si>
  <si>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</si>
  <si>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</si>
  <si>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</si>
  <si>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</si>
  <si>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</si>
  <si>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</si>
  <si>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</si>
  <si>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</si>
  <si>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</si>
  <si>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</si>
  <si>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</si>
  <si>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</si>
  <si>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</si>
  <si>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</si>
  <si>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</si>
  <si>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</si>
  <si>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</si>
  <si>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</si>
  <si>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</si>
  <si>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</si>
  <si>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</si>
  <si>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</si>
  <si>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</si>
  <si>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</si>
  <si>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</si>
  <si>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</si>
  <si>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</si>
  <si>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</si>
  <si>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</si>
  <si>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</si>
  <si>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</si>
  <si>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</si>
  <si>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</si>
  <si>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</si>
  <si>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</si>
  <si>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</si>
  <si>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</si>
  <si>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</si>
  <si>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</si>
  <si>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</si>
  <si>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</si>
  <si>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</si>
  <si>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</si>
  <si>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</si>
  <si>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</si>
  <si>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</si>
  <si>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</si>
  <si>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</si>
  <si>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</si>
  <si>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</si>
  <si>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</si>
  <si>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</si>
  <si>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</si>
  <si>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</si>
  <si>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</si>
  <si>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</si>
  <si>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</si>
  <si>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</si>
  <si>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</si>
  <si>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</si>
  <si>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</si>
  <si>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</si>
  <si>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</si>
  <si>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</si>
  <si>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</si>
  <si>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</si>
  <si>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</si>
  <si>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</si>
  <si>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</si>
  <si>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</si>
  <si>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</si>
  <si>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</si>
  <si>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</si>
  <si>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</si>
  <si>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</si>
  <si>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</si>
  <si>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</si>
  <si>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</si>
  <si>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</si>
  <si>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</si>
  <si>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</si>
  <si>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</si>
  <si>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</si>
  <si>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</si>
  <si>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</si>
  <si>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</si>
  <si>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</si>
  <si>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</si>
  <si>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</si>
  <si>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</si>
  <si>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</si>
  <si>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</si>
  <si>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</si>
  <si>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</si>
  <si>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</si>
  <si>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</si>
  <si>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</si>
  <si>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</si>
  <si>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</si>
  <si>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</si>
  <si>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</si>
  <si>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</si>
  <si>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</si>
  <si>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</si>
  <si>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</si>
  <si>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</si>
  <si>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</si>
  <si>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</si>
  <si>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</si>
  <si>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</si>
  <si>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</si>
  <si>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</si>
  <si>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</si>
  <si>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</si>
  <si>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</si>
  <si>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</si>
  <si>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</si>
  <si>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</si>
  <si>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</si>
  <si>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</si>
  <si>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</si>
  <si>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</si>
  <si>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</si>
  <si>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</si>
  <si>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</si>
  <si>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</si>
  <si>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</si>
  <si>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</si>
  <si>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</si>
  <si>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</si>
  <si>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</si>
  <si>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</si>
  <si>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</si>
  <si>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</si>
  <si>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</si>
  <si>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</si>
  <si>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</si>
  <si>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</si>
  <si>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</si>
  <si>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</si>
  <si>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</si>
  <si>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</si>
  <si>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</si>
  <si>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</si>
  <si>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</si>
  <si>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</si>
  <si>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</si>
  <si>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</si>
  <si>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</si>
  <si>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</si>
  <si>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</si>
  <si>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</si>
  <si>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</si>
  <si>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</si>
  <si>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</si>
  <si>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</si>
  <si>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</si>
  <si>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</si>
  <si>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</si>
  <si>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</si>
  <si>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</si>
  <si>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</si>
  <si>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</si>
  <si>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</si>
  <si>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</si>
  <si>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</si>
  <si>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</si>
  <si>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</si>
  <si>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</si>
  <si>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</si>
  <si>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</si>
  <si>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</si>
  <si>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</si>
  <si>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</si>
  <si>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</si>
  <si>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</si>
  <si>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</si>
  <si>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</si>
  <si>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</si>
  <si>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</si>
  <si>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</si>
  <si>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</si>
  <si>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</si>
  <si>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</si>
  <si>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</si>
  <si>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</si>
  <si>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</si>
  <si>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</si>
  <si>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</si>
  <si>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</si>
  <si>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</si>
  <si>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</si>
  <si>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</si>
  <si>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</si>
  <si>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</si>
  <si>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</si>
  <si>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</si>
  <si>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</si>
  <si>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</si>
  <si>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</si>
  <si>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</si>
  <si>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</si>
  <si>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</si>
  <si>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</si>
  <si>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</si>
  <si>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</si>
  <si>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</si>
  <si>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</si>
  <si>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</si>
  <si>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</si>
  <si>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</si>
  <si>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</si>
  <si>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</si>
  <si>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</si>
  <si>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</si>
  <si>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</si>
  <si>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</si>
  <si>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</si>
  <si>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</si>
  <si>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</si>
  <si>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</si>
  <si>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</si>
  <si>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</si>
  <si>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</si>
  <si>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</si>
  <si>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</si>
  <si>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</si>
  <si>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</si>
  <si>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</si>
  <si>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</si>
  <si>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</si>
  <si>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</si>
  <si>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</si>
  <si>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</si>
  <si>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</si>
  <si>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</si>
  <si>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</si>
  <si>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</si>
  <si>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</si>
  <si>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</si>
  <si>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</si>
  <si>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</si>
  <si>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</si>
  <si>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</si>
  <si>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</si>
  <si>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</si>
  <si>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</si>
  <si>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</si>
  <si>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</si>
  <si>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</si>
  <si>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</si>
  <si>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</si>
  <si>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</si>
  <si>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</si>
  <si>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</si>
  <si>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</si>
  <si>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</si>
  <si>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</si>
  <si>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</si>
  <si>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</si>
  <si>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</si>
  <si>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</si>
  <si>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</si>
  <si>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</si>
  <si>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</si>
  <si>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</si>
  <si>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</si>
  <si>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</si>
  <si>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</si>
  <si>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</si>
  <si>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</si>
  <si>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</si>
  <si>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</si>
  <si>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</si>
  <si>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</si>
  <si>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</si>
  <si>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</si>
  <si>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</si>
  <si>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</si>
  <si>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</si>
  <si>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</si>
  <si>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</si>
  <si>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</si>
  <si>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</si>
  <si>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</si>
  <si>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</si>
  <si>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</si>
  <si>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</si>
  <si>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</si>
  <si>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</si>
  <si>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</si>
  <si>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</si>
  <si>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</si>
  <si>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</si>
  <si>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</si>
  <si>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</si>
  <si>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</si>
  <si>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</si>
  <si>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</si>
  <si>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</si>
  <si>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</si>
  <si>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</si>
  <si>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</si>
  <si>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</si>
  <si>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</si>
  <si>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</si>
  <si>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</si>
  <si>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</si>
  <si>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</si>
  <si>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</si>
  <si>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</si>
  <si>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</si>
  <si>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</si>
  <si>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</si>
  <si>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</si>
  <si>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</si>
  <si>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</si>
  <si>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</si>
  <si>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</si>
  <si>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</si>
  <si>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</si>
  <si>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</si>
  <si>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</si>
  <si>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</si>
  <si>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</si>
  <si>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</si>
  <si>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</si>
  <si>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</si>
  <si>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</si>
  <si>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</si>
  <si>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</si>
  <si>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</si>
  <si>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</si>
  <si>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</si>
  <si>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</si>
  <si>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</si>
  <si>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</si>
  <si>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</si>
  <si>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</si>
  <si>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</si>
  <si>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</si>
  <si>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</si>
  <si>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</si>
  <si>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</si>
  <si>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</si>
  <si>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</si>
  <si>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</si>
  <si>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</si>
  <si>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</si>
  <si>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</si>
  <si>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</si>
  <si>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</si>
  <si>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</si>
  <si>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</si>
  <si>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</si>
  <si>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</si>
  <si>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</si>
  <si>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</si>
  <si>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</si>
  <si>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</si>
  <si>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</si>
  <si>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</si>
  <si>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</si>
  <si>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</si>
  <si>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</si>
  <si>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</si>
  <si>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</si>
  <si>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</si>
  <si>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</si>
  <si>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</si>
  <si>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</si>
  <si>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</si>
  <si>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</si>
  <si>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</si>
  <si>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</si>
  <si>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</si>
  <si>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</si>
  <si>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</si>
  <si>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</si>
  <si>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</si>
  <si>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</si>
  <si>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</si>
  <si>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</si>
  <si>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</si>
  <si>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</si>
  <si>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</si>
  <si>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</si>
  <si>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</si>
  <si>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</si>
  <si>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</si>
  <si>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</si>
  <si>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</si>
  <si>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</si>
  <si>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</si>
  <si>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</si>
  <si>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</si>
  <si>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</si>
  <si>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</si>
  <si>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</si>
  <si>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</si>
  <si>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</si>
  <si>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</si>
  <si>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</si>
  <si>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</si>
  <si>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</si>
  <si>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</si>
  <si>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</si>
  <si>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</si>
  <si>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</si>
  <si>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</si>
  <si>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</si>
  <si>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</si>
  <si>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</si>
  <si>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</si>
  <si>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</si>
  <si>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</si>
  <si>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</si>
  <si>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</si>
  <si>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</si>
  <si>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</si>
  <si>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</si>
  <si>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</si>
  <si>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</si>
  <si>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</si>
  <si>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</si>
  <si>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</si>
  <si>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</si>
  <si>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</si>
  <si>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</si>
  <si>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</si>
  <si>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</si>
  <si>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</si>
  <si>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</si>
  <si>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</si>
  <si>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</si>
  <si>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</si>
  <si>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</si>
  <si>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</si>
  <si>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</si>
  <si>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</si>
  <si>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</si>
  <si>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</si>
  <si>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</si>
  <si>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</si>
  <si>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</si>
  <si>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</si>
  <si>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</si>
  <si>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</si>
  <si>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</si>
  <si>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</si>
  <si>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</si>
  <si>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</si>
  <si>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</si>
  <si>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</si>
  <si>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</si>
  <si>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</si>
  <si>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</si>
  <si>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</si>
  <si>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</si>
  <si>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</si>
  <si>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</si>
  <si>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</si>
  <si>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</si>
  <si>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</si>
  <si>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</si>
  <si>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</si>
  <si>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</si>
  <si>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</si>
  <si>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</si>
  <si>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</si>
  <si>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</si>
  <si>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</si>
  <si>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</si>
  <si>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</si>
  <si>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</si>
  <si>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</si>
  <si>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</si>
  <si>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</si>
  <si>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</si>
  <si>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</si>
  <si>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</si>
  <si>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</si>
  <si>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</si>
  <si>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</si>
  <si>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</si>
  <si>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</si>
  <si>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</si>
  <si>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</si>
  <si>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</si>
  <si>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</si>
  <si>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</si>
  <si>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</si>
  <si>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</si>
  <si>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</si>
  <si>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</si>
  <si>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</si>
  <si>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</si>
  <si>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</si>
  <si>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</si>
  <si>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</si>
  <si>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</si>
  <si>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</si>
  <si>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</si>
  <si>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</si>
  <si>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</si>
  <si>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</si>
  <si>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</si>
  <si>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</si>
  <si>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</si>
  <si>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</si>
  <si>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</si>
  <si>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</si>
  <si>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</si>
  <si>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</si>
  <si>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</si>
  <si>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</si>
  <si>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</si>
  <si>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</si>
  <si>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</si>
  <si>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</si>
  <si>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</si>
  <si>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</si>
  <si>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</si>
  <si>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</si>
  <si>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</si>
  <si>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</si>
  <si>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</si>
  <si>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</si>
  <si>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</si>
  <si>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</si>
  <si>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</si>
  <si>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</si>
  <si>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</si>
  <si>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</si>
  <si>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</si>
  <si>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</si>
  <si>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</si>
  <si>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</si>
  <si>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</si>
  <si>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</si>
  <si>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</si>
  <si>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</si>
  <si>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</si>
  <si>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</si>
  <si>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</si>
  <si>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</si>
  <si>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</si>
  <si>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</si>
  <si>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</si>
  <si>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</si>
  <si>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</si>
  <si>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</si>
  <si>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</si>
  <si>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</si>
  <si>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</si>
  <si>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</si>
  <si>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</si>
  <si>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</si>
  <si>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</si>
  <si>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</si>
  <si>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</si>
  <si>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</si>
  <si>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</si>
  <si>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</si>
  <si>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</si>
  <si>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</si>
  <si>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</si>
  <si>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</si>
  <si>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</si>
  <si>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</si>
  <si>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</si>
  <si>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</si>
  <si>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</si>
  <si>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</si>
  <si>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</si>
  <si>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</si>
  <si>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</si>
  <si>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</si>
  <si>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</si>
  <si>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</si>
  <si>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</si>
  <si>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</si>
  <si>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</si>
  <si>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</si>
  <si>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</si>
  <si>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</si>
  <si>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</si>
  <si>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</si>
  <si>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</si>
  <si>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</si>
  <si>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</si>
  <si>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</si>
  <si>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</si>
  <si>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</si>
  <si>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</si>
  <si>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</si>
  <si>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</si>
  <si>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</si>
  <si>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</si>
  <si>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</si>
  <si>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</si>
  <si>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</si>
  <si>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</si>
  <si>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</si>
  <si>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</si>
  <si>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</si>
  <si>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</si>
  <si>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</si>
  <si>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</si>
  <si>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</si>
  <si>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</si>
  <si>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</si>
  <si>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</si>
  <si>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</si>
  <si>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</si>
  <si>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</si>
  <si>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</si>
  <si>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</si>
  <si>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</si>
  <si>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</si>
  <si>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</si>
  <si>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</si>
  <si>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</si>
  <si>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</si>
  <si>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</si>
  <si>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</si>
  <si>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</si>
  <si>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</si>
  <si>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</si>
  <si>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</si>
  <si>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</si>
  <si>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</si>
  <si>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</si>
  <si>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</si>
  <si>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</si>
  <si>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</si>
  <si>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</si>
  <si>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</si>
  <si>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</si>
  <si>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</si>
  <si>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</si>
  <si>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</si>
  <si>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</si>
  <si>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</si>
  <si>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</si>
  <si>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</si>
  <si>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</si>
  <si>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</si>
  <si>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</si>
  <si>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</si>
  <si>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</si>
  <si>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</si>
  <si>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</si>
  <si>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</si>
  <si>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</si>
  <si>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</si>
  <si>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</si>
  <si>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</si>
  <si>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</si>
  <si>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</si>
  <si>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</si>
  <si>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</si>
  <si>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</si>
  <si>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</si>
  <si>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</si>
  <si>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</si>
  <si>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</si>
  <si>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</si>
  <si>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</si>
  <si>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</si>
  <si>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</si>
  <si>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</si>
  <si>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</si>
  <si>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</si>
  <si>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</si>
  <si>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</si>
  <si>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</si>
  <si>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</si>
  <si>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</si>
  <si>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</si>
  <si>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</si>
  <si>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</si>
  <si>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</si>
  <si>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</si>
  <si>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</si>
  <si>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</si>
  <si>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</si>
  <si>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</si>
  <si>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</si>
  <si>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</si>
  <si>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</si>
  <si>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</si>
  <si>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</si>
  <si>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</si>
  <si>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</si>
  <si>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</si>
  <si>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</si>
  <si>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</si>
  <si>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</si>
  <si>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</si>
  <si>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</si>
  <si>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</si>
  <si>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</si>
  <si>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</si>
  <si>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</si>
  <si>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</si>
  <si>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</si>
  <si>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</si>
  <si>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</si>
  <si>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</si>
  <si>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</si>
  <si>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</si>
  <si>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</si>
  <si>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</si>
  <si>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</si>
  <si>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</si>
  <si>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</si>
  <si>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</si>
  <si>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</si>
  <si>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</si>
  <si>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</si>
  <si>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</si>
  <si>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</si>
  <si>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</si>
  <si>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</si>
  <si>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</si>
  <si>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</si>
  <si>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</si>
  <si>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</si>
  <si>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</si>
  <si>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</si>
  <si>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</si>
  <si>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</si>
  <si>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</si>
  <si>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</si>
  <si>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</si>
  <si>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</si>
  <si>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</si>
  <si>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</si>
  <si>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</si>
  <si>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</si>
  <si>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</si>
  <si>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</si>
  <si>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</si>
  <si>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</si>
  <si>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</si>
  <si>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</si>
  <si>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</si>
  <si>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</si>
  <si>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</si>
  <si>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</si>
  <si>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</si>
  <si>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</si>
  <si>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</si>
  <si>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</si>
  <si>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</si>
  <si>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</si>
  <si>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</si>
  <si>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</si>
  <si>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</si>
  <si>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</si>
  <si>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</si>
  <si>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</si>
  <si>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</si>
  <si>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</si>
  <si>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</si>
  <si>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</si>
  <si>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</si>
  <si>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</si>
  <si>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</si>
  <si>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</si>
  <si>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</si>
  <si>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</si>
  <si>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</si>
  <si>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</si>
  <si>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</si>
  <si>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</si>
  <si>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</si>
  <si>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</si>
  <si>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</si>
  <si>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</si>
  <si>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</si>
  <si>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</si>
  <si>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</si>
  <si>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</si>
  <si>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</si>
  <si>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</si>
  <si>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</si>
  <si>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</si>
  <si>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</si>
  <si>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</si>
  <si>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</si>
  <si>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</si>
  <si>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</si>
  <si>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</si>
  <si>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</si>
  <si>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</si>
  <si>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</si>
  <si>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</si>
  <si>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</si>
  <si>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</si>
  <si>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</si>
  <si>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</si>
  <si>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</si>
  <si>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</si>
  <si>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</si>
  <si>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</si>
  <si>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</si>
  <si>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</si>
  <si>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</si>
  <si>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</si>
  <si>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</si>
  <si>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</si>
  <si>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</si>
  <si>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</si>
  <si>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</si>
  <si>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</si>
  <si>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</si>
  <si>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</si>
  <si>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</si>
  <si>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</si>
  <si>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</si>
  <si>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</si>
  <si>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</si>
  <si>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</si>
  <si>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</si>
  <si>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</si>
  <si>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</si>
  <si>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</si>
  <si>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</si>
  <si>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</si>
  <si>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</si>
  <si>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</si>
  <si>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</si>
  <si>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</si>
  <si>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</si>
  <si>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</si>
  <si>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</si>
  <si>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</si>
  <si>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</si>
  <si>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</si>
  <si>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</si>
  <si>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</si>
  <si>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</si>
  <si>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</si>
  <si>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</si>
  <si>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</si>
  <si>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</si>
  <si>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</si>
  <si>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</si>
  <si>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</si>
  <si>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</si>
  <si>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</si>
  <si>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</si>
  <si>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</si>
  <si>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</si>
  <si>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</si>
  <si>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</si>
  <si>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</si>
  <si>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</si>
  <si>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</si>
  <si>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</si>
  <si>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</si>
  <si>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</si>
  <si>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</si>
  <si>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</si>
  <si>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</si>
  <si>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</si>
  <si>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</si>
  <si>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</si>
  <si>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</si>
  <si>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</si>
  <si>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</si>
  <si>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</si>
  <si>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</si>
  <si>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</si>
  <si>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</si>
  <si>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</si>
  <si>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</si>
  <si>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</si>
  <si>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</si>
  <si>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</si>
  <si>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</si>
  <si>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</si>
  <si>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</si>
  <si>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</si>
  <si>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</si>
  <si>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</si>
  <si>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</si>
  <si>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</si>
  <si>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</si>
  <si>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</si>
  <si>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</si>
  <si>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</si>
  <si>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</si>
  <si>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</si>
  <si>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</si>
  <si>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</si>
  <si>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</si>
  <si>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</si>
  <si>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</si>
  <si>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</si>
  <si>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</si>
  <si>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</si>
  <si>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</si>
  <si>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</si>
  <si>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</si>
  <si>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</si>
  <si>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</si>
  <si>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</si>
  <si>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</si>
  <si>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</si>
  <si>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</si>
  <si>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</si>
  <si>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</si>
  <si>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</si>
  <si>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</si>
  <si>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</si>
  <si>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</si>
  <si>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</si>
  <si>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</si>
  <si>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</si>
  <si>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</si>
  <si>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</si>
  <si>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</si>
  <si>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</si>
  <si>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</si>
  <si>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</si>
  <si>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</si>
  <si>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</si>
  <si>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</si>
  <si>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</si>
  <si>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</si>
  <si>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</si>
  <si>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</si>
  <si>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</si>
  <si>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</si>
  <si>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</si>
  <si>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</si>
  <si>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</si>
  <si>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</si>
  <si>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</si>
  <si>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</si>
  <si>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</si>
  <si>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</si>
  <si>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</si>
  <si>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</si>
  <si>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</si>
  <si>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</si>
  <si>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</si>
  <si>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</si>
  <si>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</si>
  <si>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</si>
  <si>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</si>
  <si>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</si>
  <si>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</si>
  <si>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</si>
  <si>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</si>
  <si>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</si>
  <si>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</si>
  <si>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</si>
  <si>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</si>
  <si>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</si>
  <si>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</si>
  <si>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</si>
  <si>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</si>
  <si>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</si>
  <si>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</si>
  <si>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</si>
  <si>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</si>
  <si>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</si>
  <si>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</si>
  <si>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</si>
  <si>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</si>
  <si>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</si>
  <si>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</si>
  <si>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</si>
  <si>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</si>
  <si>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</si>
  <si>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</si>
  <si>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</si>
  <si>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</si>
  <si>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</si>
  <si>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</si>
  <si>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</si>
  <si>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</si>
  <si>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</si>
  <si>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</si>
  <si>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</si>
  <si>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</si>
  <si>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</si>
  <si>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</si>
  <si>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</si>
  <si>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</si>
  <si>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</si>
  <si>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</si>
  <si>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</si>
  <si>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</si>
  <si>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</si>
  <si>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</si>
  <si>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</si>
  <si>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</si>
  <si>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</si>
  <si>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</si>
  <si>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</si>
  <si>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</si>
  <si>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</si>
  <si>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</si>
  <si>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</si>
  <si>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</si>
  <si>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</si>
  <si>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</si>
  <si>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</si>
  <si>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</si>
  <si>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</si>
  <si>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</si>
  <si>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</si>
  <si>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</si>
  <si>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</si>
  <si>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</si>
  <si>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</si>
  <si>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</si>
  <si>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</si>
  <si>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</si>
  <si>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</si>
  <si>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</si>
  <si>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</si>
  <si>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</si>
  <si>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</si>
  <si>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</si>
  <si>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</si>
  <si>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</si>
  <si>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</si>
  <si>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</si>
  <si>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</si>
  <si>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</si>
  <si>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</si>
  <si>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</si>
  <si>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</si>
  <si>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</si>
  <si>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</si>
  <si>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</si>
  <si>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</si>
  <si>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</si>
  <si>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</si>
  <si>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</si>
  <si>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</si>
  <si>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</si>
  <si>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</si>
  <si>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</si>
  <si>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</si>
  <si>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</si>
  <si>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</si>
  <si>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</si>
  <si>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</si>
  <si>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</si>
  <si>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</si>
  <si>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</si>
  <si>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</si>
  <si>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</si>
  <si>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</si>
  <si>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</si>
  <si>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</si>
  <si>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</si>
  <si>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</si>
  <si>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</si>
  <si>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</si>
  <si>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</si>
  <si>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</si>
  <si>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</si>
  <si>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</si>
  <si>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</si>
  <si>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</si>
  <si>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</si>
  <si>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</si>
  <si>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</si>
  <si>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</si>
  <si>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</si>
  <si>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</si>
  <si>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</si>
  <si>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</si>
  <si>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</si>
  <si>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</si>
  <si>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</si>
  <si>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</si>
  <si>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</si>
  <si>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</si>
  <si>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</si>
  <si>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</si>
  <si>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</si>
  <si>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</si>
  <si>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</si>
  <si>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</si>
  <si>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</si>
  <si>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</si>
  <si>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</si>
  <si>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</si>
  <si>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</si>
  <si>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</si>
  <si>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</si>
  <si>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</si>
  <si>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</si>
  <si>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</si>
  <si>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</si>
  <si>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</si>
  <si>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</si>
  <si>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</si>
  <si>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</si>
  <si>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</si>
  <si>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</si>
  <si>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</si>
  <si>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</si>
  <si>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</si>
  <si>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</si>
  <si>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</si>
  <si>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</si>
  <si>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</si>
  <si>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</si>
  <si>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</si>
  <si>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</si>
  <si>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</si>
  <si>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</si>
  <si>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</si>
  <si>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</si>
  <si>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</si>
  <si>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</si>
  <si>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</si>
  <si>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</si>
  <si>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</si>
  <si>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</si>
  <si>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</si>
  <si>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</si>
  <si>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</si>
  <si>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</si>
  <si>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</si>
  <si>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</si>
  <si>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</si>
  <si>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</si>
  <si>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</si>
  <si>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</si>
  <si>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</si>
  <si>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</si>
  <si>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</si>
  <si>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</si>
  <si>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</si>
  <si>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</si>
  <si>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</si>
  <si>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</si>
  <si>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</si>
  <si>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</si>
  <si>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</si>
  <si>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</si>
  <si>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</si>
  <si>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</si>
  <si>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</si>
  <si>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</si>
  <si>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</si>
  <si>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</si>
  <si>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</si>
  <si>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</si>
  <si>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</si>
  <si>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</si>
  <si>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</si>
  <si>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</si>
  <si>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</si>
  <si>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</si>
  <si>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</si>
  <si>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</si>
  <si>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</si>
  <si>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</si>
  <si>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</si>
  <si>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</si>
  <si>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</si>
  <si>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</si>
  <si>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</si>
  <si>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</si>
  <si>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</si>
  <si>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</si>
  <si>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</si>
  <si>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</si>
  <si>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</si>
  <si>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</si>
  <si>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</si>
  <si>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</si>
  <si>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</si>
  <si>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</si>
  <si>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</si>
  <si>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</si>
  <si>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</si>
  <si>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</si>
  <si>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</si>
  <si>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</si>
  <si>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</si>
  <si>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</si>
  <si>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</si>
  <si>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</si>
  <si>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</si>
  <si>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</si>
  <si>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</si>
  <si>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</si>
  <si>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</si>
  <si>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</si>
  <si>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</si>
  <si>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</si>
  <si>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</si>
  <si>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</si>
  <si>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</si>
  <si>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</si>
  <si>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</si>
  <si>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</si>
  <si>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</si>
  <si>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</si>
  <si>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</si>
  <si>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</si>
  <si>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</si>
  <si>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</si>
  <si>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</si>
  <si>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</si>
  <si>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</si>
  <si>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</si>
  <si>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</si>
  <si>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</si>
  <si>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</si>
  <si>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</si>
  <si>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</si>
  <si>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</si>
  <si>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</si>
  <si>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</si>
  <si>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</si>
  <si>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</si>
  <si>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</si>
  <si>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</si>
  <si>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</si>
  <si>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</si>
  <si>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</si>
  <si>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</si>
  <si>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</si>
  <si>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</si>
  <si>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</si>
  <si>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</si>
  <si>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</si>
  <si>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</si>
  <si>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</si>
  <si>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</si>
  <si>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</si>
  <si>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</si>
  <si>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</si>
  <si>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</si>
  <si>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</si>
  <si>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</si>
  <si>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</si>
  <si>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</si>
  <si>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</si>
  <si>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</si>
  <si>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</si>
  <si>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</si>
  <si>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</si>
  <si>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</si>
  <si>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</si>
  <si>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</si>
  <si>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</si>
  <si>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</si>
  <si>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</si>
  <si>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</si>
  <si>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</si>
  <si>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</si>
  <si>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</si>
  <si>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</si>
  <si>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</si>
  <si>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</si>
  <si>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</si>
  <si>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</si>
  <si>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</si>
  <si>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</si>
  <si>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</si>
  <si>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</si>
  <si>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</si>
  <si>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</si>
  <si>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</si>
  <si>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</si>
  <si>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</si>
  <si>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</si>
  <si>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</si>
  <si>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</si>
  <si>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</si>
  <si>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</si>
  <si>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</si>
  <si>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</si>
  <si>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</si>
  <si>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</si>
  <si>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</si>
  <si>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</si>
  <si>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</si>
  <si>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</si>
  <si>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</si>
  <si>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</si>
  <si>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</si>
  <si>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</si>
  <si>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</si>
  <si>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</si>
  <si>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</si>
  <si>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</si>
  <si>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</si>
  <si>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</si>
  <si>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</si>
  <si>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</si>
  <si>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</si>
  <si>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</si>
  <si>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</si>
  <si>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</si>
  <si>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</si>
  <si>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</si>
  <si>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</si>
  <si>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</si>
  <si>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</si>
  <si>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</si>
  <si>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</si>
  <si>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</si>
  <si>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</si>
  <si>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</si>
  <si>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</si>
  <si>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</si>
  <si>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</si>
  <si>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</si>
  <si>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</si>
  <si>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</si>
  <si>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</si>
  <si>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</si>
  <si>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</si>
  <si>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</si>
  <si>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</si>
  <si>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</si>
  <si>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</si>
  <si>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</si>
  <si>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</si>
  <si>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</si>
  <si>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</si>
  <si>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</si>
  <si>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</si>
  <si>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</si>
  <si>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</si>
  <si>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</si>
  <si>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</si>
  <si>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</si>
  <si>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</si>
  <si>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</si>
  <si>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</si>
  <si>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</si>
  <si>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</si>
  <si>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</si>
  <si>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</si>
  <si>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</si>
  <si>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</si>
  <si>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</si>
  <si>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</si>
  <si>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</si>
  <si>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</si>
  <si>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</si>
  <si>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</si>
  <si>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</si>
  <si>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</si>
  <si>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</si>
  <si>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</si>
  <si>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</si>
  <si>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</si>
  <si>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</si>
  <si>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</si>
  <si>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</si>
  <si>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</si>
  <si>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</si>
  <si>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</si>
  <si>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</si>
  <si>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</si>
  <si>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</si>
  <si>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</si>
  <si>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</si>
  <si>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</si>
  <si>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</si>
  <si>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</si>
  <si>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</si>
  <si>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</si>
  <si>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</si>
  <si>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</si>
  <si>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</si>
  <si>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</si>
  <si>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</si>
  <si>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</si>
  <si>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</si>
  <si>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</si>
  <si>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</si>
  <si>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</si>
  <si>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</si>
  <si>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</si>
  <si>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</si>
  <si>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</si>
  <si>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</si>
  <si>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</si>
  <si>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</si>
  <si>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</si>
  <si>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</si>
  <si>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</si>
  <si>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</si>
  <si>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</si>
  <si>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</si>
  <si>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</si>
  <si>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</si>
  <si>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</si>
  <si>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</si>
  <si>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</si>
  <si>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</si>
  <si>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</si>
  <si>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</si>
  <si>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</si>
  <si>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</si>
  <si>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</si>
  <si>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</si>
  <si>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</si>
  <si>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</si>
  <si>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</si>
  <si>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</si>
  <si>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</si>
  <si>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</si>
  <si>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</si>
  <si>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</si>
  <si>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</si>
  <si>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</si>
  <si>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</si>
  <si>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</si>
  <si>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</si>
  <si>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</si>
  <si>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</si>
  <si>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</si>
  <si>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</si>
  <si>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</si>
  <si>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</si>
  <si>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</si>
  <si>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</si>
  <si>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</si>
  <si>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</si>
  <si>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</si>
  <si>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</si>
  <si>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</si>
  <si>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</si>
  <si>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</si>
  <si>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</si>
  <si>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</si>
  <si>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</si>
  <si>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</si>
  <si>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</si>
  <si>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</si>
  <si>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</si>
  <si>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</si>
  <si>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</si>
  <si>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</si>
  <si>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</si>
  <si>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</si>
  <si>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</si>
  <si>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</si>
  <si>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</si>
  <si>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</si>
  <si>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</si>
  <si>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</si>
  <si>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</si>
  <si>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</si>
  <si>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</si>
  <si>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</si>
  <si>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</si>
  <si>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</si>
  <si>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</si>
  <si>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</si>
  <si>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</si>
  <si>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</si>
  <si>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</si>
  <si>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</si>
  <si>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</si>
  <si>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</si>
  <si>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</si>
  <si>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</si>
  <si>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</si>
  <si>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</si>
  <si>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</si>
  <si>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</si>
  <si>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</si>
  <si>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</si>
  <si>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</si>
  <si>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</si>
  <si>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</si>
  <si>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</si>
  <si>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</si>
  <si>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</si>
  <si>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</si>
  <si>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</si>
  <si>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</si>
  <si>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</si>
  <si>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</si>
  <si>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</si>
  <si>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</si>
  <si>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</si>
  <si>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</si>
  <si>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</si>
  <si>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</si>
  <si>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</si>
  <si>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</si>
  <si>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</si>
  <si>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</si>
  <si>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</si>
  <si>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</si>
  <si>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</si>
  <si>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</si>
  <si>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</si>
  <si>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</si>
  <si>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</si>
  <si>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</si>
  <si>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</si>
  <si>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</si>
  <si>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</si>
  <si>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</si>
  <si>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</si>
  <si>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</si>
  <si>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</si>
  <si>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</si>
  <si>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</si>
  <si>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</si>
  <si>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</si>
  <si>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</si>
  <si>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</si>
  <si>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</si>
  <si>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</si>
  <si>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</si>
  <si>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</si>
  <si>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</si>
  <si>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</si>
  <si>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</si>
  <si>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</si>
  <si>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</si>
  <si>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</si>
  <si>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</si>
  <si>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</si>
  <si>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</si>
  <si>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</si>
  <si>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</si>
  <si>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</si>
  <si>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</si>
  <si>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</si>
  <si>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</si>
  <si>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</si>
  <si>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</si>
  <si>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</si>
  <si>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</si>
  <si>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</si>
  <si>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</si>
  <si>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</si>
  <si>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</si>
  <si>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</si>
  <si>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</si>
  <si>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</si>
  <si>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</si>
  <si>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</si>
  <si>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</si>
  <si>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</si>
  <si>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</si>
  <si>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</si>
  <si>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</si>
  <si>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</si>
  <si>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</si>
  <si>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</si>
  <si>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</si>
  <si>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</si>
  <si>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</si>
  <si>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</si>
  <si>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</si>
  <si>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</si>
  <si>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</si>
  <si>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</si>
  <si>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</si>
  <si>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</si>
  <si>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</si>
  <si>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</si>
  <si>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</si>
  <si>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</si>
  <si>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</si>
  <si>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</si>
  <si>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</si>
  <si>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</si>
  <si>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</si>
  <si>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</si>
  <si>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</si>
  <si>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</si>
  <si>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</si>
  <si>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</si>
  <si>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</si>
  <si>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</si>
  <si>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</si>
  <si>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</si>
  <si>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</si>
  <si>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</si>
  <si>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</si>
  <si>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</si>
  <si>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</si>
  <si>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</si>
  <si>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</si>
  <si>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</si>
  <si>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</si>
  <si>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</si>
  <si>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</si>
  <si>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</si>
  <si>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</si>
  <si>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</si>
  <si>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</si>
  <si>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</si>
  <si>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</si>
  <si>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</si>
  <si>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</si>
  <si>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</si>
  <si>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</si>
  <si>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</si>
  <si>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</si>
  <si>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</si>
  <si>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</si>
  <si>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</si>
  <si>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</si>
  <si>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</si>
  <si>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</si>
  <si>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</si>
  <si>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</si>
  <si>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</si>
  <si>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</si>
  <si>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</si>
  <si>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</si>
  <si>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</si>
  <si>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</si>
  <si>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</si>
  <si>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</si>
  <si>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</si>
  <si>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</si>
  <si>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</si>
  <si>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</si>
  <si>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</si>
  <si>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</si>
  <si>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</si>
  <si>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</si>
  <si>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</si>
  <si>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</si>
  <si>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</si>
  <si>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</si>
  <si>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</si>
  <si>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</si>
  <si>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</si>
  <si>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</si>
  <si>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</si>
  <si>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</si>
  <si>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</si>
  <si>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</si>
  <si>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</si>
  <si>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</si>
  <si>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</si>
  <si>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</si>
  <si>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</si>
  <si>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</si>
  <si>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</si>
  <si>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</si>
  <si>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</si>
  <si>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</si>
  <si>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</si>
  <si>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</si>
  <si>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</si>
  <si>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</si>
  <si>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</si>
  <si>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</si>
  <si>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</si>
  <si>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</si>
  <si>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</si>
  <si>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</si>
  <si>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</si>
  <si>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</si>
  <si>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</si>
  <si>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</si>
  <si>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</si>
  <si>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</si>
  <si>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</si>
  <si>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</si>
  <si>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</si>
  <si>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</si>
  <si>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</si>
  <si>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</si>
  <si>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</si>
  <si>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</si>
  <si>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</si>
  <si>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</si>
  <si>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</si>
  <si>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</si>
  <si>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</si>
  <si>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</si>
  <si>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</si>
  <si>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</si>
  <si>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</si>
  <si>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</si>
  <si>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</si>
  <si>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</si>
  <si>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</si>
  <si>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</si>
  <si>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</si>
  <si>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</si>
  <si>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</si>
  <si>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</si>
  <si>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</si>
  <si>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</si>
  <si>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</si>
  <si>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</si>
  <si>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</si>
  <si>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</si>
  <si>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</si>
  <si>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</si>
  <si>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</si>
  <si>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</si>
  <si>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</si>
  <si>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</si>
  <si>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</si>
  <si>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</si>
  <si>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</si>
  <si>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</si>
  <si>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</si>
  <si>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</si>
  <si>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</si>
  <si>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</si>
  <si>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</si>
  <si>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</si>
  <si>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</si>
  <si>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</si>
  <si>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</si>
  <si>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</si>
  <si>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</si>
  <si>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</si>
  <si>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</si>
  <si>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</si>
  <si>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</si>
  <si>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</si>
  <si>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</si>
  <si>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</si>
  <si>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</si>
  <si>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</si>
  <si>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</si>
  <si>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</si>
  <si>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</si>
  <si>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</si>
  <si>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</si>
  <si>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</si>
  <si>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</si>
  <si>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</si>
  <si>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</si>
  <si>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</si>
  <si>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</si>
  <si>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</si>
  <si>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</si>
  <si>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</si>
  <si>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</si>
  <si>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</si>
  <si>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</si>
  <si>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</si>
  <si>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</si>
  <si>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</si>
  <si>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</si>
  <si>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</si>
  <si>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</si>
  <si>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</si>
  <si>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</si>
  <si>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</si>
  <si>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</si>
  <si>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</si>
  <si>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</si>
  <si>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</si>
  <si>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</si>
  <si>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</si>
  <si>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</si>
  <si>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</si>
  <si>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</si>
  <si>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</si>
  <si>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</si>
  <si>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</si>
  <si>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</si>
  <si>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</si>
  <si>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</si>
  <si>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</si>
  <si>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</si>
  <si>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</si>
  <si>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</si>
  <si>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</si>
  <si>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</si>
  <si>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</si>
  <si>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</si>
  <si>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</si>
  <si>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</si>
  <si>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</si>
  <si>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</si>
  <si>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</si>
  <si>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</si>
  <si>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</si>
  <si>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</si>
  <si>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</si>
  <si>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</si>
  <si>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</si>
  <si>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</si>
  <si>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</si>
  <si>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</si>
  <si>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</si>
  <si>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</si>
  <si>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</si>
  <si>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</si>
  <si>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</si>
  <si>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</si>
  <si>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</si>
  <si>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</si>
  <si>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</si>
  <si>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</si>
  <si>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</si>
  <si>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</si>
  <si>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</si>
  <si>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</si>
  <si>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</si>
  <si>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</si>
  <si>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</si>
  <si>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</si>
  <si>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</si>
  <si>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</si>
  <si>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</si>
  <si>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</si>
  <si>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</si>
  <si>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</si>
  <si>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</si>
  <si>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</si>
  <si>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</si>
  <si>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</si>
  <si>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</si>
  <si>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</si>
  <si>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</si>
  <si>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</si>
  <si>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</si>
  <si>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</si>
  <si>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</si>
  <si>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</si>
  <si>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</si>
  <si>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</si>
  <si>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</si>
  <si>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</si>
  <si>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</si>
  <si>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</si>
  <si>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</si>
  <si>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</si>
  <si>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</si>
  <si>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</si>
  <si>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</si>
  <si>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</si>
  <si>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</si>
  <si>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</si>
  <si>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</si>
  <si>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</si>
  <si>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</si>
  <si>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</si>
  <si>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</si>
  <si>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</si>
  <si>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</si>
  <si>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</si>
  <si>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</si>
  <si>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</si>
  <si>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</si>
  <si>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</si>
  <si>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</si>
  <si>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</si>
  <si>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</si>
  <si>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</si>
  <si>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</si>
  <si>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</si>
  <si>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</si>
  <si>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</si>
  <si>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</si>
  <si>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</si>
  <si>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</si>
  <si>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</si>
  <si>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</si>
  <si>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</si>
  <si>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</si>
  <si>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</si>
  <si>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</si>
  <si>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</si>
  <si>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</si>
  <si>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</si>
  <si>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</si>
  <si>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</si>
  <si>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</si>
  <si>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</si>
  <si>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</si>
  <si>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</si>
  <si>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</si>
  <si>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</si>
  <si>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</si>
  <si>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</si>
  <si>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</si>
  <si>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</si>
  <si>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</si>
  <si>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</si>
  <si>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</si>
  <si>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</si>
  <si>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</si>
  <si>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</si>
  <si>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</si>
  <si>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</si>
  <si>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</si>
  <si>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</si>
  <si>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</si>
  <si>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</si>
  <si>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</si>
  <si>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</si>
  <si>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</si>
  <si>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</si>
  <si>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</si>
  <si>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</si>
  <si>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</si>
  <si>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</si>
  <si>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</si>
  <si>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</si>
  <si>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</si>
  <si>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</si>
  <si>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</si>
  <si>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</si>
  <si>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</si>
  <si>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</si>
  <si>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</si>
  <si>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</si>
  <si>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</si>
  <si>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</si>
  <si>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</si>
  <si>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</si>
  <si>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</si>
  <si>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</si>
  <si>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</si>
  <si>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</si>
  <si>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</si>
  <si>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</si>
  <si>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</si>
  <si>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</si>
  <si>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</si>
  <si>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</si>
  <si>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</si>
  <si>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</si>
  <si>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</si>
  <si>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</si>
  <si>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</si>
  <si>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</si>
  <si>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</si>
  <si>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</si>
  <si>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</si>
  <si>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</si>
  <si>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</si>
  <si>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</si>
  <si>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</si>
  <si>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</si>
  <si>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</si>
  <si>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</si>
  <si>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</si>
  <si>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</si>
  <si>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</si>
  <si>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</si>
  <si>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</si>
  <si>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</si>
  <si>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</si>
  <si>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</si>
  <si>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</si>
  <si>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</si>
  <si>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</si>
  <si>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</si>
  <si>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</si>
  <si>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</si>
  <si>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</si>
  <si>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</si>
  <si>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</si>
  <si>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</si>
  <si>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</si>
  <si>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</si>
  <si>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</si>
  <si>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</si>
  <si>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</si>
  <si>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</si>
  <si>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</si>
  <si>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</si>
  <si>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</si>
  <si>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</si>
  <si>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</si>
  <si>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</si>
  <si>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</si>
  <si>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</si>
  <si>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</si>
  <si>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</si>
  <si>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</si>
  <si>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</si>
  <si>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</si>
  <si>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</si>
  <si>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</si>
  <si>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</si>
  <si>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</si>
  <si>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</si>
  <si>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</si>
  <si>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</si>
  <si>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</si>
  <si>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</si>
  <si>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</si>
  <si>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</si>
  <si>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</si>
  <si>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</si>
  <si>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</si>
  <si>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</si>
  <si>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</si>
  <si>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</si>
  <si>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</si>
  <si>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</si>
  <si>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</si>
  <si>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</si>
  <si>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</si>
  <si>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</si>
  <si>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</si>
  <si>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</si>
  <si>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</si>
  <si>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</si>
  <si>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</si>
  <si>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</si>
  <si>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</si>
  <si>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</si>
  <si>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</si>
  <si>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</si>
  <si>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</si>
  <si>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</si>
  <si>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</si>
  <si>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</si>
  <si>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</si>
  <si>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</si>
  <si>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</si>
  <si>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</si>
  <si>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</si>
  <si>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</si>
  <si>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</si>
  <si>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</si>
  <si>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</si>
  <si>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</si>
  <si>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</si>
  <si>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</si>
  <si>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</si>
  <si>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</si>
  <si>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</si>
  <si>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</si>
  <si>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</si>
  <si>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</si>
  <si>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</si>
  <si>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</si>
  <si>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</si>
  <si>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</si>
  <si>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</si>
  <si>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</si>
  <si>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</si>
  <si>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</si>
  <si>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</si>
  <si>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</si>
  <si>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</si>
  <si>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</si>
  <si>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</si>
  <si>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</si>
  <si>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</si>
  <si>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</si>
  <si>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</si>
  <si>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</si>
  <si>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</si>
  <si>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</si>
  <si>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</si>
  <si>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</si>
  <si>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</si>
  <si>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</si>
  <si>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</si>
  <si>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</si>
  <si>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</si>
  <si>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</si>
  <si>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</si>
  <si>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</si>
  <si>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</si>
  <si>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</si>
  <si>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</si>
  <si>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</si>
  <si>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</si>
  <si>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</si>
  <si>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</si>
  <si>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</si>
  <si>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</si>
  <si>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</si>
  <si>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</si>
  <si>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</si>
  <si>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</si>
  <si>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</si>
  <si>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</si>
  <si>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</si>
  <si>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</si>
  <si>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</si>
  <si>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</si>
  <si>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</si>
  <si>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</si>
  <si>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</si>
  <si>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</si>
  <si>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</si>
  <si>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</si>
  <si>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</si>
  <si>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</si>
  <si>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</si>
  <si>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</si>
  <si>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</si>
  <si>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</si>
  <si>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</si>
  <si>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</si>
  <si>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</si>
  <si>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</si>
  <si>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</si>
  <si>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</si>
  <si>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</si>
  <si>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</si>
  <si>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</si>
  <si>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</si>
  <si>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</si>
  <si>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</si>
  <si>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</si>
  <si>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</si>
  <si>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</si>
  <si>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</si>
  <si>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</si>
  <si>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</si>
  <si>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</si>
  <si>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</si>
  <si>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</si>
  <si>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</si>
  <si>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</si>
  <si>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</si>
  <si>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</si>
  <si>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</si>
  <si>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</si>
  <si>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</si>
  <si>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</si>
  <si>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</si>
  <si>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</si>
  <si>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</si>
  <si>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</si>
  <si>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</si>
  <si>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</si>
  <si>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</si>
  <si>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</si>
  <si>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</si>
  <si>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</si>
  <si>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</si>
  <si>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</si>
  <si>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</si>
  <si>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</si>
  <si>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</si>
  <si>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</si>
  <si>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</si>
  <si>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</si>
  <si>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</si>
  <si>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</si>
  <si>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</si>
  <si>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</si>
  <si>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</si>
  <si>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</si>
  <si>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</si>
  <si>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</si>
  <si>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</si>
  <si>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</si>
  <si>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</si>
  <si>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</si>
  <si>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</si>
  <si>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</si>
  <si>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</si>
  <si>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</si>
  <si>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</si>
  <si>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</si>
  <si>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</si>
  <si>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</si>
  <si>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</si>
  <si>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</si>
  <si>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</si>
  <si>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</si>
  <si>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</si>
  <si>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</si>
  <si>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</si>
  <si>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</si>
  <si>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</si>
  <si>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</si>
  <si>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</si>
  <si>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</si>
  <si>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</si>
  <si>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</si>
  <si>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</si>
  <si>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</si>
  <si>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</si>
  <si>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</si>
  <si>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</si>
  <si>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</si>
  <si>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</si>
  <si>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</si>
  <si>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</si>
  <si>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</si>
  <si>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</si>
  <si>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</si>
  <si>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</si>
  <si>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</si>
  <si>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</si>
  <si>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</si>
  <si>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</si>
  <si>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</si>
  <si>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</si>
  <si>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</si>
  <si>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</si>
  <si>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</si>
  <si>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</si>
  <si>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</si>
  <si>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</si>
  <si>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</si>
  <si>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</si>
  <si>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</si>
  <si>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</si>
  <si>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</si>
  <si>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</si>
  <si>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</si>
  <si>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</si>
  <si>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</si>
  <si>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</si>
  <si>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</si>
  <si>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</si>
  <si>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</si>
  <si>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</si>
  <si>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</si>
  <si>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</si>
  <si>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</si>
  <si>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</si>
  <si>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</si>
  <si>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</si>
  <si>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</si>
  <si>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</si>
  <si>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</si>
  <si>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</si>
  <si>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</si>
  <si>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</si>
  <si>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</si>
  <si>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</si>
  <si>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</si>
  <si>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</si>
  <si>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</si>
  <si>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</si>
  <si>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</si>
  <si>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</si>
  <si>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</si>
  <si>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</si>
  <si>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</si>
  <si>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</si>
  <si>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</si>
  <si>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</si>
  <si>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</si>
  <si>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</si>
  <si>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</si>
  <si>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</si>
  <si>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</si>
  <si>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</si>
  <si>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</si>
  <si>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</si>
  <si>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</si>
  <si>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</si>
  <si>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</si>
  <si>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</si>
  <si>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</si>
  <si>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</si>
  <si>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</si>
  <si>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</si>
  <si>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</si>
  <si>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</si>
  <si>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</si>
  <si>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</si>
  <si>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</si>
  <si>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</si>
  <si>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</si>
  <si>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</si>
  <si>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</si>
  <si>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</si>
  <si>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</si>
  <si>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</si>
  <si>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</si>
  <si>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</si>
  <si>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</si>
  <si>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</si>
  <si>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</si>
  <si>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</si>
  <si>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</si>
  <si>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</si>
  <si>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</si>
  <si>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</si>
  <si>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</si>
  <si>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</si>
  <si>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</si>
  <si>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</si>
  <si>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</si>
  <si>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</si>
  <si>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</si>
  <si>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</si>
  <si>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</si>
  <si>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</si>
  <si>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</si>
  <si>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</si>
  <si>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</si>
  <si>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</si>
  <si>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</si>
  <si>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</si>
  <si>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</si>
  <si>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</si>
  <si>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</si>
  <si>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</si>
  <si>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</si>
  <si>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</si>
  <si>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</si>
  <si>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</si>
  <si>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</si>
  <si>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</si>
  <si>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</si>
  <si>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</si>
  <si>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</si>
  <si>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</si>
  <si>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</si>
  <si>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</si>
  <si>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</si>
  <si>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</si>
  <si>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</si>
  <si>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</si>
  <si>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</si>
  <si>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</si>
  <si>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</si>
  <si>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</si>
  <si>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</si>
  <si>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</si>
  <si>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</si>
  <si>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</si>
  <si>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</si>
  <si>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</si>
  <si>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</si>
  <si>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</si>
  <si>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</si>
  <si>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</si>
  <si>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</si>
  <si>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</si>
  <si>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</si>
  <si>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</si>
  <si>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</si>
  <si>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</si>
  <si>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</si>
  <si>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</si>
  <si>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</si>
  <si>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</si>
  <si>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</si>
  <si>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</si>
  <si>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</si>
  <si>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</si>
  <si>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</si>
  <si>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</si>
  <si>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</si>
  <si>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</si>
  <si>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</si>
  <si>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</si>
  <si>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</si>
  <si>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</si>
  <si>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</si>
  <si>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</si>
  <si>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</si>
  <si>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</si>
  <si>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</si>
  <si>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</si>
  <si>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</si>
  <si>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</si>
  <si>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</si>
  <si>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</si>
  <si>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</si>
  <si>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</si>
  <si>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</si>
  <si>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</si>
  <si>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</si>
  <si>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</si>
  <si>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</si>
  <si>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</si>
  <si>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</si>
  <si>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</si>
  <si>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</si>
  <si>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</si>
  <si>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</si>
  <si>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</si>
  <si>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</si>
  <si>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</si>
  <si>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</si>
  <si>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</si>
  <si>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</si>
  <si>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</si>
  <si>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</si>
  <si>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</si>
  <si>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</si>
  <si>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</si>
  <si>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</si>
  <si>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</si>
  <si>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</si>
  <si>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</si>
  <si>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</si>
  <si>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</si>
  <si>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</si>
  <si>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</si>
  <si>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</si>
  <si>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</si>
  <si>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</si>
  <si>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</si>
  <si>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</si>
  <si>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</si>
  <si>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</si>
  <si>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</si>
  <si>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</si>
  <si>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</si>
  <si>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</si>
  <si>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</si>
  <si>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</si>
  <si>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</si>
  <si>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</si>
  <si>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</si>
  <si>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</si>
  <si>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</si>
  <si>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</si>
  <si>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</si>
  <si>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</si>
  <si>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</si>
  <si>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</si>
  <si>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</si>
  <si>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</si>
  <si>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</si>
  <si>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</si>
  <si>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</si>
  <si>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</si>
  <si>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</si>
  <si>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</si>
  <si>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</si>
  <si>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</si>
  <si>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</si>
  <si>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</si>
  <si>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</si>
  <si>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</si>
  <si>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</si>
  <si>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</si>
  <si>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</si>
  <si>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</si>
  <si>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</si>
  <si>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</si>
  <si>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</si>
  <si>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</si>
  <si>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</si>
  <si>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</si>
  <si>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</si>
  <si>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</si>
  <si>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</si>
  <si>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</si>
  <si>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</si>
  <si>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</si>
  <si>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</si>
  <si>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</si>
  <si>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</si>
  <si>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</si>
  <si>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</si>
  <si>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</si>
  <si>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</si>
  <si>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</si>
  <si>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</si>
  <si>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</si>
  <si>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</si>
  <si>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</si>
  <si>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</si>
  <si>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</si>
  <si>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</si>
  <si>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</si>
  <si>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</si>
  <si>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</si>
  <si>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</si>
  <si>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</si>
  <si>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</si>
  <si>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</si>
  <si>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</si>
  <si>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</si>
  <si>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</si>
  <si>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</si>
  <si>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</si>
  <si>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</si>
  <si>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</si>
  <si>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</si>
  <si>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</si>
  <si>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</si>
  <si>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</si>
  <si>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</si>
  <si>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</si>
  <si>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</si>
  <si>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</si>
  <si>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</si>
  <si>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</si>
  <si>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</si>
  <si>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</si>
  <si>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</si>
  <si>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</si>
  <si>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</si>
  <si>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</si>
  <si>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</si>
  <si>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</si>
  <si>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</si>
  <si>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</si>
  <si>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</si>
  <si>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</si>
  <si>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</si>
  <si>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</si>
  <si>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</si>
  <si>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</si>
  <si>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</si>
  <si>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</si>
  <si>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</si>
  <si>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</si>
  <si>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</si>
  <si>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</si>
  <si>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</si>
  <si>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</si>
  <si>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</si>
  <si>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</si>
  <si>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</si>
  <si>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</si>
  <si>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</si>
  <si>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</si>
  <si>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</si>
  <si>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</si>
  <si>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</si>
  <si>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</si>
  <si>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</si>
  <si>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</si>
  <si>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</si>
  <si>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</si>
  <si>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</si>
  <si>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</si>
  <si>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</si>
  <si>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</si>
  <si>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</si>
  <si>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</si>
  <si>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</si>
  <si>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</si>
  <si>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</si>
  <si>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</si>
  <si>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</si>
  <si>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</si>
  <si>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</si>
  <si>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</si>
  <si>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</si>
  <si>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</si>
  <si>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</si>
  <si>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</si>
  <si>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</si>
  <si>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</si>
  <si>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</si>
  <si>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</si>
  <si>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</si>
  <si>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</si>
  <si>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</si>
  <si>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</si>
  <si>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</si>
  <si>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</si>
  <si>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</si>
  <si>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</si>
  <si>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</si>
  <si>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</si>
  <si>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</si>
  <si>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</si>
  <si>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</si>
  <si>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</si>
  <si>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</si>
  <si>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</si>
  <si>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</si>
  <si>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</si>
  <si>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</si>
  <si>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</si>
  <si>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</si>
  <si>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</si>
  <si>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</si>
  <si>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</si>
  <si>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</si>
  <si>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</si>
  <si>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</si>
  <si>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</si>
  <si>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</si>
  <si>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</si>
  <si>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</si>
  <si>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</si>
  <si>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</si>
  <si>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</si>
  <si>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</si>
  <si>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</si>
  <si>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</si>
  <si>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</si>
  <si>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</si>
  <si>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</si>
  <si>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</si>
  <si>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</si>
  <si>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</si>
  <si>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</si>
  <si>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</si>
  <si>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</si>
  <si>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</si>
  <si>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</si>
  <si>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</si>
  <si>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</si>
  <si>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</si>
  <si>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</si>
  <si>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</si>
  <si>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</si>
  <si>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</si>
  <si>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</si>
  <si>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</si>
  <si>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</si>
  <si>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</si>
  <si>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</si>
  <si>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</si>
  <si>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</si>
  <si>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</si>
  <si>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</si>
  <si>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</si>
  <si>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</si>
  <si>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</si>
  <si>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</si>
  <si>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</si>
  <si>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</si>
  <si>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</si>
  <si>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</si>
  <si>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</si>
  <si>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</si>
  <si>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</si>
  <si>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</si>
  <si>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</si>
  <si>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</si>
  <si>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</si>
  <si>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</si>
  <si>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</si>
  <si>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</si>
  <si>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</si>
  <si>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</si>
  <si>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</si>
  <si>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</si>
  <si>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</si>
  <si>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</si>
  <si>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</si>
  <si>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</si>
  <si>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</si>
  <si>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</si>
  <si>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</si>
  <si>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</si>
  <si>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</si>
  <si>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</si>
  <si>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</si>
  <si>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</si>
  <si>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</si>
  <si>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</si>
  <si>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</si>
  <si>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</si>
  <si>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</si>
  <si>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</si>
  <si>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</si>
  <si>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</si>
  <si>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</si>
  <si>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</si>
  <si>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</si>
  <si>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</si>
  <si>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</si>
  <si>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</si>
  <si>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</si>
  <si>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</si>
  <si>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</si>
  <si>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</si>
  <si>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</si>
  <si>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</si>
  <si>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</si>
  <si>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</si>
  <si>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</si>
  <si>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</si>
  <si>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</si>
  <si>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</si>
  <si>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</si>
  <si>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</si>
  <si>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</si>
  <si>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</si>
  <si>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</si>
  <si>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</si>
  <si>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</si>
  <si>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</si>
  <si>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</si>
  <si>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</si>
  <si>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</si>
  <si>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</si>
  <si>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</si>
  <si>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</si>
  <si>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</si>
  <si>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</si>
  <si>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</si>
  <si>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</si>
  <si>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</si>
  <si>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</si>
  <si>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</si>
  <si>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</si>
  <si>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</si>
  <si>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</si>
  <si>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</si>
  <si>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</si>
  <si>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</si>
  <si>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</si>
  <si>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</si>
  <si>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</si>
  <si>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</si>
  <si>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</si>
  <si>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</si>
  <si>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</si>
  <si>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</si>
  <si>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</si>
  <si>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</si>
  <si>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</si>
  <si>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</si>
  <si>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</si>
  <si>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</si>
  <si>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</si>
  <si>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</si>
  <si>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</si>
  <si>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</si>
  <si>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</si>
  <si>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</si>
  <si>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</si>
  <si>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</si>
  <si>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</si>
  <si>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</si>
  <si>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</si>
  <si>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</si>
  <si>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</si>
  <si>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</si>
  <si>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</si>
  <si>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</si>
  <si>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</si>
  <si>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</si>
  <si>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</si>
  <si>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</si>
  <si>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</si>
  <si>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</si>
  <si>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</si>
  <si>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</si>
  <si>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</si>
  <si>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</si>
  <si>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</si>
  <si>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</si>
  <si>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</si>
  <si>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</si>
  <si>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</si>
  <si>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</si>
  <si>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</si>
  <si>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</si>
  <si>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</si>
  <si>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</si>
  <si>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</si>
  <si>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</si>
  <si>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</si>
  <si>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</si>
  <si>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</si>
  <si>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</si>
  <si>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</si>
  <si>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</si>
  <si>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</si>
  <si>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</si>
  <si>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</si>
  <si>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</si>
  <si>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</si>
  <si>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</si>
  <si>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</si>
  <si>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</si>
  <si>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</si>
  <si>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</si>
  <si>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</si>
  <si>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</si>
  <si>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</si>
  <si>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</si>
  <si>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</si>
  <si>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</si>
  <si>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</si>
  <si>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</si>
  <si>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</si>
  <si>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</si>
  <si>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</si>
  <si>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</si>
  <si>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</si>
  <si>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</si>
  <si>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</si>
  <si>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</si>
  <si>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</si>
  <si>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</si>
  <si>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</si>
  <si>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</si>
  <si>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</si>
  <si>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</si>
  <si>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</si>
  <si>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</si>
  <si>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</si>
  <si>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</si>
  <si>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</si>
  <si>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</si>
  <si>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</si>
  <si>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</si>
  <si>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</si>
  <si>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</si>
  <si>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</si>
  <si>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</si>
  <si>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</si>
  <si>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</si>
  <si>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</si>
  <si>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</si>
  <si>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</si>
  <si>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</si>
  <si>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</si>
  <si>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</si>
  <si>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</si>
  <si>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</si>
  <si>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</si>
  <si>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</si>
  <si>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</si>
  <si>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</si>
  <si>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</si>
  <si>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</si>
  <si>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</si>
  <si>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</si>
  <si>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</si>
  <si>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</si>
  <si>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</si>
  <si>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</si>
  <si>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</si>
  <si>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</si>
  <si>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</si>
  <si>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</si>
  <si>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</si>
  <si>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</si>
  <si>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</si>
  <si>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</si>
  <si>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</si>
  <si>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</si>
  <si>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</si>
  <si>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</si>
  <si>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</si>
  <si>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</si>
  <si>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</si>
  <si>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</si>
  <si>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</si>
  <si>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</si>
  <si>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</si>
  <si>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</si>
  <si>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</si>
  <si>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</si>
  <si>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</si>
  <si>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</si>
  <si>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</si>
  <si>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</si>
  <si>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</si>
  <si>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</si>
  <si>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</si>
  <si>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</si>
  <si>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</si>
  <si>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</si>
  <si>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</si>
  <si>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</si>
  <si>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</si>
  <si>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</si>
  <si>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</si>
  <si>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</si>
  <si>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</si>
  <si>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</si>
  <si>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</si>
  <si>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</si>
  <si>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</si>
  <si>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</si>
  <si>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</si>
  <si>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</si>
  <si>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</si>
  <si>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</si>
  <si>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</si>
  <si>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</si>
  <si>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</si>
  <si>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</si>
  <si>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</si>
  <si>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</si>
  <si>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</si>
  <si>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</si>
  <si>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</si>
  <si>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</si>
  <si>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</si>
  <si>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</si>
  <si>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</si>
  <si>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</si>
  <si>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</si>
  <si>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</si>
  <si>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</si>
  <si>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</si>
  <si>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</si>
  <si>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</si>
  <si>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</si>
  <si>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</si>
  <si>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</si>
  <si>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</si>
  <si>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</si>
  <si>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</si>
  <si>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</si>
  <si>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</si>
  <si>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</si>
  <si>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</si>
  <si>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</si>
  <si>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</si>
  <si>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</si>
  <si>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</si>
  <si>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</si>
  <si>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</si>
  <si>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</si>
  <si>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</si>
  <si>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</si>
  <si>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</si>
  <si>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</si>
  <si>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</si>
  <si>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</si>
  <si>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</si>
  <si>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</si>
  <si>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</si>
  <si>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</si>
  <si>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</si>
  <si>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</si>
  <si>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</si>
  <si>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</si>
  <si>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</si>
  <si>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</si>
  <si>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</si>
  <si>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</si>
  <si>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</si>
  <si>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</si>
  <si>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</si>
  <si>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</si>
  <si>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</si>
  <si>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</si>
  <si>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</si>
  <si>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</si>
  <si>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</si>
  <si>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</si>
  <si>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</si>
  <si>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</si>
  <si>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</si>
  <si>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</si>
  <si>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</si>
  <si>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</si>
  <si>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</si>
  <si>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</si>
  <si>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</si>
  <si>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</si>
  <si>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</si>
  <si>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</si>
  <si>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</si>
  <si>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</si>
  <si>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</si>
  <si>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</si>
  <si>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</si>
  <si>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</si>
  <si>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</si>
  <si>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</si>
  <si>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</si>
  <si>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</si>
  <si>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</si>
  <si>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</si>
  <si>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</si>
  <si>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</si>
  <si>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</si>
  <si>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</si>
  <si>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</si>
  <si>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</si>
  <si>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</si>
  <si>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</si>
  <si>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</si>
  <si>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</si>
  <si>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</si>
  <si>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</si>
  <si>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</si>
  <si>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</si>
  <si>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</si>
  <si>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</si>
  <si>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</si>
  <si>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</si>
  <si>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</si>
  <si>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</si>
  <si>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</si>
  <si>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</si>
  <si>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</si>
  <si>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</si>
  <si>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</si>
  <si>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</si>
  <si>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</si>
  <si>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Monolithic Power Systems, Inc.</t>
  </si>
  <si>
    <t>79-996-8680</t>
  </si>
  <si>
    <t>Dunn &amp; Bradstreet</t>
  </si>
  <si>
    <t>79 Great Oaks Blvd, San Jose, Ca. 95119 USA</t>
  </si>
  <si>
    <t>QA-Customer</t>
  </si>
  <si>
    <t>QA-Customer@monolithicpower.com</t>
  </si>
  <si>
    <t>+86 28 87303024</t>
  </si>
  <si>
    <t>Dr. Henry Zhao</t>
  </si>
  <si>
    <t>Senior Director of Quality Assurance</t>
  </si>
  <si>
    <t>Henry.Zhao@monolithicpower.com</t>
  </si>
  <si>
    <t>+1 408-826-0756</t>
  </si>
  <si>
    <t>https://www.monolithicpower.com/en/design-tools/quality/quality-policy-certificates.html/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</si>
</sst>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5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03" fillId="0" borderId="66" xfId="0" quotePrefix="1" applyNumberFormat="1" applyFont="1" applyBorder="1" applyAlignment="1" applyProtection="1">
      <alignment horizontal="left" wrapText="1"/>
      <protection locked="0" hidden="1"/>
    </xf>
    <xf numFmtId="0" fontId="103" fillId="0" borderId="67" xfId="0" applyNumberFormat="1" applyFont="1" applyBorder="1" applyAlignment="1" applyProtection="1">
      <alignment horizontal="left" wrapText="1"/>
      <protection locked="0" hidden="1"/>
    </xf>
    <xf numFmtId="0" fontId="103" fillId="0" borderId="68" xfId="0" applyNumberFormat="1" applyFont="1" applyBorder="1" applyAlignment="1" applyProtection="1">
      <alignment horizontal="left" wrapText="1"/>
      <protection locked="0" hidden="1"/>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2" borderId="52" xfId="0" quotePrefix="1"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3"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7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onolithicpower.com/en/design-tools/quality/quality-policy-certificates.htm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5"/>
      <c r="B2" s="38" t="s">
        <v>963</v>
      </c>
      <c r="C2" s="36"/>
      <c r="D2" s="207"/>
      <c r="E2" s="3"/>
      <c r="F2" s="36"/>
      <c r="G2" s="34"/>
    </row>
    <row r="3" spans="1:7">
      <c r="A3" s="365"/>
      <c r="B3" s="5" t="s">
        <v>952</v>
      </c>
      <c r="C3" s="6"/>
      <c r="D3" s="208"/>
      <c r="E3" s="3"/>
      <c r="F3" s="6"/>
      <c r="G3" s="34"/>
    </row>
    <row r="4" spans="1:7" ht="15.75">
      <c r="A4" s="365"/>
      <c r="B4" s="41" t="s">
        <v>965</v>
      </c>
      <c r="C4" s="7"/>
      <c r="D4" s="209"/>
      <c r="E4" s="3"/>
      <c r="F4" s="7"/>
      <c r="G4" s="34"/>
    </row>
    <row r="5" spans="1:7">
      <c r="A5" s="365"/>
      <c r="B5" s="40" t="s">
        <v>1157</v>
      </c>
      <c r="C5" s="4"/>
      <c r="D5" s="210"/>
      <c r="E5" s="3"/>
      <c r="F5" s="4"/>
      <c r="G5" s="34"/>
    </row>
    <row r="6" spans="1:7">
      <c r="A6" s="365"/>
      <c r="B6" s="8"/>
      <c r="C6" s="8"/>
      <c r="D6" s="211"/>
      <c r="E6" s="8"/>
      <c r="F6" s="8"/>
      <c r="G6" s="34"/>
    </row>
    <row r="7" spans="1:7">
      <c r="A7" s="365"/>
      <c r="B7" s="8"/>
      <c r="C7" s="8"/>
      <c r="D7" s="211"/>
      <c r="E7" s="8"/>
      <c r="F7" s="8"/>
      <c r="G7" s="34"/>
    </row>
    <row r="8" spans="1:7">
      <c r="A8" s="365"/>
      <c r="B8" s="8"/>
      <c r="C8" s="8"/>
      <c r="D8" s="211"/>
      <c r="E8" s="8"/>
      <c r="F8" s="8"/>
      <c r="G8" s="34"/>
    </row>
    <row r="9" spans="1:7">
      <c r="A9" s="365"/>
      <c r="B9" s="368" t="s">
        <v>966</v>
      </c>
      <c r="C9" s="368"/>
      <c r="D9" s="368"/>
      <c r="E9" s="368"/>
      <c r="F9" s="368"/>
      <c r="G9" s="34"/>
    </row>
    <row r="10" spans="1:7" ht="27" customHeight="1">
      <c r="A10" s="365"/>
      <c r="B10" s="369" t="s">
        <v>506</v>
      </c>
      <c r="C10" s="369"/>
      <c r="D10" s="369"/>
      <c r="E10" s="369"/>
      <c r="F10" s="369"/>
      <c r="G10" s="34"/>
    </row>
    <row r="11" spans="1:7" ht="27" customHeight="1">
      <c r="A11" s="365"/>
      <c r="B11" s="370"/>
      <c r="C11" s="370"/>
      <c r="D11" s="370"/>
      <c r="E11" s="370"/>
      <c r="F11" s="370"/>
      <c r="G11" s="34"/>
    </row>
    <row r="12" spans="1:7" ht="16.5">
      <c r="A12" s="365"/>
      <c r="B12" s="42" t="s">
        <v>964</v>
      </c>
      <c r="C12" s="43" t="s">
        <v>967</v>
      </c>
      <c r="D12" s="212" t="s">
        <v>968</v>
      </c>
      <c r="E12" s="43" t="s">
        <v>701</v>
      </c>
      <c r="F12" s="43" t="s">
        <v>702</v>
      </c>
      <c r="G12" s="34"/>
    </row>
    <row r="13" spans="1:7" ht="33.75">
      <c r="A13" s="365"/>
      <c r="B13" s="2">
        <v>1</v>
      </c>
      <c r="C13" s="37" t="s">
        <v>1208</v>
      </c>
      <c r="D13" s="39" t="s">
        <v>992</v>
      </c>
      <c r="E13" s="196" t="s">
        <v>969</v>
      </c>
      <c r="F13" s="196"/>
      <c r="G13" s="34"/>
    </row>
    <row r="14" spans="1:7" ht="33.75">
      <c r="A14" s="365"/>
      <c r="B14" s="2">
        <v>2</v>
      </c>
      <c r="C14" s="37" t="s">
        <v>1208</v>
      </c>
      <c r="D14" s="39" t="s">
        <v>1142</v>
      </c>
      <c r="E14" s="196" t="s">
        <v>602</v>
      </c>
      <c r="F14" s="196" t="s">
        <v>603</v>
      </c>
      <c r="G14" s="34"/>
    </row>
    <row r="15" spans="1:7" ht="89.1" customHeight="1">
      <c r="A15" s="365"/>
      <c r="B15" s="350">
        <v>2.0099999999999998</v>
      </c>
      <c r="C15" s="362" t="s">
        <v>1208</v>
      </c>
      <c r="D15" s="371" t="s">
        <v>2686</v>
      </c>
      <c r="E15" s="197" t="s">
        <v>703</v>
      </c>
      <c r="F15" s="197" t="s">
        <v>706</v>
      </c>
      <c r="G15" s="34"/>
    </row>
    <row r="16" spans="1:7" ht="99" customHeight="1">
      <c r="A16" s="365"/>
      <c r="B16" s="351"/>
      <c r="C16" s="363"/>
      <c r="D16" s="372"/>
      <c r="E16" s="198"/>
      <c r="F16" s="198" t="s">
        <v>704</v>
      </c>
      <c r="G16" s="34"/>
    </row>
    <row r="17" spans="1:7" ht="63" customHeight="1">
      <c r="A17" s="365"/>
      <c r="B17" s="352"/>
      <c r="C17" s="364"/>
      <c r="D17" s="373"/>
      <c r="E17" s="37"/>
      <c r="F17" s="37" t="s">
        <v>705</v>
      </c>
      <c r="G17" s="34"/>
    </row>
    <row r="18" spans="1:7" ht="117" customHeight="1">
      <c r="A18" s="365"/>
      <c r="B18" s="350">
        <v>2.02</v>
      </c>
      <c r="C18" s="362" t="s">
        <v>1208</v>
      </c>
      <c r="D18" s="371" t="s">
        <v>2687</v>
      </c>
      <c r="E18" s="197" t="s">
        <v>507</v>
      </c>
      <c r="F18" s="197" t="s">
        <v>596</v>
      </c>
      <c r="G18" s="34"/>
    </row>
    <row r="19" spans="1:7" ht="71.099999999999994" customHeight="1">
      <c r="A19" s="365"/>
      <c r="B19" s="351"/>
      <c r="C19" s="363"/>
      <c r="D19" s="372"/>
      <c r="E19" s="198" t="s">
        <v>601</v>
      </c>
      <c r="F19" s="198" t="s">
        <v>508</v>
      </c>
      <c r="G19" s="34"/>
    </row>
    <row r="20" spans="1:7" ht="90.75" customHeight="1">
      <c r="A20" s="365"/>
      <c r="B20" s="351"/>
      <c r="C20" s="363"/>
      <c r="D20" s="372"/>
      <c r="E20" s="198"/>
      <c r="F20" s="198" t="s">
        <v>708</v>
      </c>
      <c r="G20" s="34"/>
    </row>
    <row r="21" spans="1:7" ht="74.25" customHeight="1">
      <c r="A21" s="365"/>
      <c r="B21" s="352"/>
      <c r="C21" s="364"/>
      <c r="D21" s="373"/>
      <c r="E21" s="37"/>
      <c r="F21" s="37" t="s">
        <v>707</v>
      </c>
      <c r="G21" s="34"/>
    </row>
    <row r="22" spans="1:7" ht="90" customHeight="1">
      <c r="A22" s="365"/>
      <c r="B22" s="356">
        <v>2.0299999999999998</v>
      </c>
      <c r="C22" s="356" t="s">
        <v>935</v>
      </c>
      <c r="D22" s="359" t="s">
        <v>2688</v>
      </c>
      <c r="E22" s="362" t="s">
        <v>505</v>
      </c>
      <c r="F22" s="197" t="s">
        <v>529</v>
      </c>
      <c r="G22" s="34"/>
    </row>
    <row r="23" spans="1:7" ht="109.5" customHeight="1">
      <c r="A23" s="365"/>
      <c r="B23" s="357"/>
      <c r="C23" s="357"/>
      <c r="D23" s="360"/>
      <c r="E23" s="363"/>
      <c r="F23" s="198" t="s">
        <v>936</v>
      </c>
      <c r="G23" s="34"/>
    </row>
    <row r="24" spans="1:7" ht="74.25" customHeight="1">
      <c r="A24" s="365"/>
      <c r="B24" s="358"/>
      <c r="C24" s="358"/>
      <c r="D24" s="361"/>
      <c r="E24" s="364"/>
      <c r="F24" s="37" t="s">
        <v>504</v>
      </c>
      <c r="G24" s="34"/>
    </row>
    <row r="25" spans="1:7" ht="72" customHeight="1">
      <c r="A25" s="365"/>
      <c r="B25" s="2" t="s">
        <v>527</v>
      </c>
      <c r="C25" s="37" t="s">
        <v>528</v>
      </c>
      <c r="D25" s="39" t="s">
        <v>2689</v>
      </c>
      <c r="E25" s="37" t="s">
        <v>2682</v>
      </c>
      <c r="F25" s="37" t="s">
        <v>530</v>
      </c>
      <c r="G25" s="34"/>
    </row>
    <row r="26" spans="1:7" ht="98.1" customHeight="1">
      <c r="A26" s="365"/>
      <c r="B26" s="353">
        <v>3</v>
      </c>
      <c r="C26" s="350" t="s">
        <v>74</v>
      </c>
      <c r="D26" s="371" t="s">
        <v>2690</v>
      </c>
      <c r="E26" s="362" t="s">
        <v>0</v>
      </c>
      <c r="F26" s="197" t="s">
        <v>68</v>
      </c>
      <c r="G26" s="34"/>
    </row>
    <row r="27" spans="1:7" ht="90" customHeight="1">
      <c r="A27" s="365"/>
      <c r="B27" s="354"/>
      <c r="C27" s="351"/>
      <c r="D27" s="372"/>
      <c r="E27" s="363"/>
      <c r="F27" s="198" t="s">
        <v>63</v>
      </c>
      <c r="G27" s="34"/>
    </row>
    <row r="28" spans="1:7" ht="19.350000000000001" customHeight="1">
      <c r="A28" s="365"/>
      <c r="B28" s="354"/>
      <c r="C28" s="351"/>
      <c r="D28" s="372"/>
      <c r="E28" s="363"/>
      <c r="F28" s="198" t="s">
        <v>64</v>
      </c>
      <c r="G28" s="34"/>
    </row>
    <row r="29" spans="1:7" ht="74.45" customHeight="1">
      <c r="A29" s="365"/>
      <c r="B29" s="354"/>
      <c r="C29" s="351"/>
      <c r="D29" s="372"/>
      <c r="E29" s="363"/>
      <c r="F29" s="198" t="s">
        <v>65</v>
      </c>
      <c r="G29" s="34"/>
    </row>
    <row r="30" spans="1:7" ht="62.45" customHeight="1">
      <c r="A30" s="365"/>
      <c r="B30" s="354"/>
      <c r="C30" s="351"/>
      <c r="D30" s="372"/>
      <c r="E30" s="363"/>
      <c r="F30" s="198" t="s">
        <v>66</v>
      </c>
      <c r="G30" s="34"/>
    </row>
    <row r="31" spans="1:7" ht="81" customHeight="1">
      <c r="A31" s="365"/>
      <c r="B31" s="354"/>
      <c r="C31" s="351"/>
      <c r="D31" s="372"/>
      <c r="E31" s="363"/>
      <c r="F31" s="198" t="s">
        <v>67</v>
      </c>
      <c r="G31" s="34"/>
    </row>
    <row r="32" spans="1:7" ht="48.75" customHeight="1">
      <c r="A32" s="365"/>
      <c r="B32" s="354"/>
      <c r="C32" s="351"/>
      <c r="D32" s="372"/>
      <c r="E32" s="363"/>
      <c r="F32" s="198" t="s">
        <v>70</v>
      </c>
      <c r="G32" s="34"/>
    </row>
    <row r="33" spans="1:7" ht="98.45" customHeight="1">
      <c r="A33" s="365"/>
      <c r="B33" s="354"/>
      <c r="C33" s="351"/>
      <c r="D33" s="372"/>
      <c r="E33" s="363"/>
      <c r="F33" s="198" t="s">
        <v>69</v>
      </c>
      <c r="G33" s="34"/>
    </row>
    <row r="34" spans="1:7" ht="89.1" customHeight="1">
      <c r="A34" s="365"/>
      <c r="B34" s="354"/>
      <c r="C34" s="351"/>
      <c r="D34" s="372"/>
      <c r="E34" s="363"/>
      <c r="F34" s="198" t="s">
        <v>71</v>
      </c>
      <c r="G34" s="34"/>
    </row>
    <row r="35" spans="1:7" ht="29.1" customHeight="1">
      <c r="A35" s="365"/>
      <c r="B35" s="354"/>
      <c r="C35" s="351"/>
      <c r="D35" s="372"/>
      <c r="E35" s="363"/>
      <c r="F35" s="198" t="s">
        <v>72</v>
      </c>
      <c r="G35" s="34"/>
    </row>
    <row r="36" spans="1:7" ht="126.75">
      <c r="A36" s="365"/>
      <c r="B36" s="355"/>
      <c r="C36" s="352"/>
      <c r="D36" s="373"/>
      <c r="E36" s="364"/>
      <c r="F36" s="199" t="s">
        <v>73</v>
      </c>
      <c r="G36" s="34"/>
    </row>
    <row r="37" spans="1:7" ht="123.75">
      <c r="A37" s="365"/>
      <c r="B37" s="175">
        <v>3.01</v>
      </c>
      <c r="C37" s="176" t="s">
        <v>74</v>
      </c>
      <c r="D37" s="39" t="s">
        <v>2691</v>
      </c>
      <c r="E37" s="200" t="s">
        <v>1458</v>
      </c>
      <c r="F37" s="201" t="s">
        <v>1577</v>
      </c>
      <c r="G37" s="34"/>
    </row>
    <row r="38" spans="1:7" ht="112.5">
      <c r="A38" s="365"/>
      <c r="B38" s="175">
        <v>3.02</v>
      </c>
      <c r="C38" s="176" t="s">
        <v>1492</v>
      </c>
      <c r="D38" s="39" t="s">
        <v>2692</v>
      </c>
      <c r="E38" s="200" t="s">
        <v>1507</v>
      </c>
      <c r="F38" s="201" t="s">
        <v>1578</v>
      </c>
      <c r="G38" s="34"/>
    </row>
    <row r="39" spans="1:7" ht="101.25">
      <c r="A39" s="365"/>
      <c r="B39" s="184">
        <v>4</v>
      </c>
      <c r="C39" s="183" t="s">
        <v>1757</v>
      </c>
      <c r="D39" s="39" t="s">
        <v>2693</v>
      </c>
      <c r="E39" s="37" t="s">
        <v>2625</v>
      </c>
      <c r="F39" s="37" t="s">
        <v>1758</v>
      </c>
      <c r="G39" s="34"/>
    </row>
    <row r="40" spans="1:7" ht="56.25">
      <c r="A40" s="365"/>
      <c r="B40" s="175">
        <v>4.01</v>
      </c>
      <c r="C40" s="183" t="s">
        <v>1757</v>
      </c>
      <c r="D40" s="39" t="s">
        <v>2695</v>
      </c>
      <c r="E40" s="37" t="s">
        <v>2644</v>
      </c>
      <c r="F40" s="37" t="s">
        <v>2649</v>
      </c>
      <c r="G40" s="34"/>
    </row>
    <row r="41" spans="1:7" ht="56.25">
      <c r="A41" s="365"/>
      <c r="B41" s="175" t="s">
        <v>2680</v>
      </c>
      <c r="C41" s="183" t="s">
        <v>1757</v>
      </c>
      <c r="D41" s="39" t="s">
        <v>2694</v>
      </c>
      <c r="E41" s="37" t="s">
        <v>2683</v>
      </c>
      <c r="F41" s="37" t="s">
        <v>2681</v>
      </c>
      <c r="G41" s="34"/>
    </row>
    <row r="42" spans="1:7" ht="56.25">
      <c r="A42" s="365"/>
      <c r="B42" s="175" t="s">
        <v>2732</v>
      </c>
      <c r="C42" s="183" t="s">
        <v>1757</v>
      </c>
      <c r="D42" s="39" t="s">
        <v>2903</v>
      </c>
      <c r="E42" s="37" t="s">
        <v>2682</v>
      </c>
      <c r="F42" s="37" t="s">
        <v>2733</v>
      </c>
      <c r="G42" s="34"/>
    </row>
    <row r="43" spans="1:7" ht="123.75">
      <c r="A43" s="365"/>
      <c r="B43" s="193">
        <v>4.0999999999999996</v>
      </c>
      <c r="C43" s="183" t="s">
        <v>2902</v>
      </c>
      <c r="D43" s="194">
        <v>42867</v>
      </c>
      <c r="E43" s="202" t="s">
        <v>2905</v>
      </c>
      <c r="F43" s="37" t="s">
        <v>2904</v>
      </c>
      <c r="G43" s="34"/>
    </row>
    <row r="44" spans="1:7" ht="78.75">
      <c r="A44" s="365"/>
      <c r="B44" s="193">
        <v>4.2</v>
      </c>
      <c r="C44" s="183" t="s">
        <v>2902</v>
      </c>
      <c r="D44" s="194">
        <v>42704</v>
      </c>
      <c r="E44" s="202" t="s">
        <v>3155</v>
      </c>
      <c r="F44" s="37" t="s">
        <v>3120</v>
      </c>
      <c r="G44" s="34"/>
    </row>
    <row r="45" spans="1:7" ht="157.5">
      <c r="A45" s="365"/>
      <c r="B45" s="241">
        <v>5</v>
      </c>
      <c r="C45" s="183" t="s">
        <v>2902</v>
      </c>
      <c r="D45" s="194">
        <v>42867</v>
      </c>
      <c r="E45" s="202" t="s">
        <v>13730</v>
      </c>
      <c r="F45" s="37" t="s">
        <v>13315</v>
      </c>
      <c r="G45" s="34"/>
    </row>
    <row r="46" spans="1:7" ht="45">
      <c r="A46" s="365"/>
      <c r="B46" s="193">
        <v>5.01</v>
      </c>
      <c r="C46" s="183" t="s">
        <v>2902</v>
      </c>
      <c r="D46" s="194">
        <v>42907</v>
      </c>
      <c r="E46" s="202" t="s">
        <v>13786</v>
      </c>
      <c r="F46" s="37" t="s">
        <v>13315</v>
      </c>
      <c r="G46" s="34"/>
    </row>
    <row r="47" spans="1:7" ht="67.5">
      <c r="A47" s="365"/>
      <c r="B47" s="193">
        <v>5.0999999999999996</v>
      </c>
      <c r="C47" s="183" t="s">
        <v>2902</v>
      </c>
      <c r="D47" s="194">
        <v>43070</v>
      </c>
      <c r="E47" s="202" t="s">
        <v>13985</v>
      </c>
      <c r="F47" s="37" t="s">
        <v>13986</v>
      </c>
      <c r="G47" s="34"/>
    </row>
    <row r="48" spans="1:7" ht="56.25">
      <c r="A48" s="365"/>
      <c r="B48" s="193">
        <v>5.1100000000000003</v>
      </c>
      <c r="C48" s="183" t="s">
        <v>14260</v>
      </c>
      <c r="D48" s="194">
        <v>43217</v>
      </c>
      <c r="E48" s="202" t="s">
        <v>14404</v>
      </c>
      <c r="F48" s="37" t="s">
        <v>14299</v>
      </c>
      <c r="G48" s="34"/>
    </row>
    <row r="49" spans="1:7" ht="56.25">
      <c r="A49" s="365"/>
      <c r="B49" s="193">
        <v>5.12</v>
      </c>
      <c r="C49" s="183" t="s">
        <v>14260</v>
      </c>
      <c r="D49" s="194">
        <v>43581</v>
      </c>
      <c r="E49" s="202" t="s">
        <v>14404</v>
      </c>
      <c r="F49" s="37" t="s">
        <v>15467</v>
      </c>
      <c r="G49" s="34"/>
    </row>
    <row r="50" spans="1:7" ht="13.5" thickBot="1">
      <c r="A50" s="366"/>
      <c r="B50" s="367" t="str">
        <f ca="1">OFFSET(L!$C$1,MATCH("General"&amp;"Cpy",L!$A:$A,0)-1,SL,,)</f>
        <v>© 2019 Responsible Minerals Initiative. All rights reserved.</v>
      </c>
      <c r="C50" s="367"/>
      <c r="D50" s="367"/>
      <c r="E50" s="367"/>
      <c r="F50" s="367"/>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4"/>
      <c r="B1" s="375"/>
      <c r="C1" s="375"/>
      <c r="D1" s="376"/>
    </row>
    <row r="2" spans="1:5" ht="71.25" customHeight="1">
      <c r="A2" s="90"/>
      <c r="B2" s="171" t="str">
        <f ca="1">OFFSET(L!$C$1,MATCH("Definitions"&amp;ADDRESS(ROW(),COLUMN(),4),L!$A:$A,0)-1,SL,,)</f>
        <v>ITEM</v>
      </c>
      <c r="C2" s="171" t="str">
        <f ca="1">OFFSET(L!$C$1,MATCH("Definitions"&amp;ADDRESS(ROW(),COLUMN(),4),L!$A:$A,0)-1,SL,,)</f>
        <v>DEFINITION</v>
      </c>
      <c r="D2" s="378"/>
      <c r="E2" s="131"/>
    </row>
    <row r="3" spans="1:5" ht="63.95" customHeight="1">
      <c r="A3" s="90"/>
      <c r="B3" s="77" t="str">
        <f ca="1">OFFSET(L!$C$1,MATCH("Definitions"&amp;ADDRESS(ROW(),COLUMN(),4),L!$A:$A,0)-1,SL,,)</f>
        <v>3TG</v>
      </c>
      <c r="C3" s="77" t="str">
        <f ca="1">OFFSET(L!$C$1,MATCH("Definitions"&amp;ADDRESS(ROW(),COLUMN(),4),L!$A:$A,0)-1,SL,,)</f>
        <v>Tantalum, tin, tungsten, gold</v>
      </c>
      <c r="D3" s="378"/>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8"/>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8"/>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8"/>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8"/>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8"/>
      <c r="E8" s="132" t="s">
        <v>1443</v>
      </c>
    </row>
    <row r="9" spans="1:5" ht="45">
      <c r="A9" s="90"/>
      <c r="B9" s="77" t="str">
        <f ca="1">OFFSET(L!$C$1,MATCH("Definitions"&amp;ADDRESS(ROW(),COLUMN(),4),L!$A:$A,0)-1,SL,,)</f>
        <v>DRC</v>
      </c>
      <c r="C9" s="77" t="str">
        <f ca="1">OFFSET(L!$C$1,MATCH("Definitions"&amp;ADDRESS(ROW(),COLUMN(),4),L!$A:$A,0)-1,SL,,)</f>
        <v>Democratic Republic of Congo</v>
      </c>
      <c r="D9" s="378"/>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8"/>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8"/>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8"/>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8"/>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8"/>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8"/>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8"/>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8"/>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8"/>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8"/>
      <c r="E19" s="132"/>
    </row>
    <row r="20" spans="1:5" ht="15">
      <c r="A20" s="90"/>
      <c r="B20" s="77" t="str">
        <f ca="1">OFFSET(L!$C$1,MATCH("Definitions"&amp;ADDRESS(ROW(),COLUMN(),4),L!$A:$A,0)-1,SL,,)</f>
        <v>RBA</v>
      </c>
      <c r="C20" s="77" t="str">
        <f ca="1">OFFSET(L!$C$1,MATCH("Definitions"&amp;ADDRESS(ROW(),COLUMN(),4),L!$A:$A,0)-1,SL,,)</f>
        <v>Responsible Business Alliance (www.responsiblebusiness.org)</v>
      </c>
      <c r="D20" s="378"/>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8"/>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8"/>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8"/>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8"/>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8"/>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8"/>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8"/>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8"/>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8"/>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8"/>
      <c r="E30" s="132"/>
    </row>
    <row r="31" spans="1:5" ht="15">
      <c r="A31" s="90"/>
      <c r="B31" s="377" t="str">
        <f ca="1">OFFSET(L!$C$1,MATCH("General"&amp;"Cpy",L!$A:$A,0)-1,SL,,)</f>
        <v>© 2019 Responsible Minerals Initiative. All rights reserved.</v>
      </c>
      <c r="C31" s="377"/>
      <c r="D31" s="378"/>
      <c r="E31" s="132"/>
    </row>
    <row r="32" spans="1:5" ht="13.5" thickBot="1">
      <c r="A32" s="91"/>
      <c r="B32" s="187"/>
      <c r="C32" s="187"/>
      <c r="D32" s="379"/>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49" zoomScaleNormal="100" zoomScalePageLayoutView="70" workbookViewId="0">
      <selection activeCell="G71" sqref="G71:J7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2"/>
      <c r="B1" s="403"/>
      <c r="C1" s="403"/>
      <c r="D1" s="403"/>
      <c r="E1" s="403"/>
      <c r="F1" s="403"/>
      <c r="G1" s="403"/>
      <c r="H1" s="403"/>
      <c r="I1" s="403"/>
      <c r="J1" s="403"/>
      <c r="K1" s="404"/>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5" t="str">
        <f ca="1">OFFSET(L!$C$1,MATCH("Declaration"&amp;ADDRESS(ROW(),COLUMN(),4),L!$A:$A,0)-1,SL,,)</f>
        <v>Conflict Minerals Reporting Template (CMRT)</v>
      </c>
      <c r="E2" s="406"/>
      <c r="F2" s="406"/>
      <c r="G2" s="406"/>
      <c r="H2" s="406"/>
      <c r="I2" s="406"/>
      <c r="J2" s="407"/>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6"/>
      <c r="G3" s="416"/>
      <c r="H3" s="416"/>
      <c r="I3" s="186"/>
      <c r="J3" s="172" t="s">
        <v>15472</v>
      </c>
      <c r="K3" s="47"/>
      <c r="L3" s="143"/>
      <c r="M3" s="134"/>
      <c r="N3" s="134"/>
      <c r="O3" s="135"/>
      <c r="P3" s="148">
        <f>MATCH($D$3,LN,0)</f>
        <v>1</v>
      </c>
    </row>
    <row r="4" spans="1:34" ht="15.75">
      <c r="A4" s="45"/>
      <c r="B4" s="412" t="str">
        <f ca="1">OFFSET(L!$C$1,MATCH("Declaration"&amp;ADDRESS(ROW(),COLUMN(),4),L!$A:$A,0)-1,SL,,)</f>
        <v>The purpose of this document is to collect sourcing information on tin, tantalum, tungsten and gold used in products</v>
      </c>
      <c r="C4" s="412"/>
      <c r="D4" s="412"/>
      <c r="E4" s="412"/>
      <c r="F4" s="412"/>
      <c r="G4" s="412"/>
      <c r="H4" s="412"/>
      <c r="I4" s="417" t="str">
        <f ca="1">OFFSET(L!$C$1,MATCH("Declaration"&amp;ADDRESS(ROW(),COLUMN(),4),L!$A:$A,0)-1,SL,,)</f>
        <v>Link to Terms &amp; Conditions</v>
      </c>
      <c r="J4" s="417"/>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1" t="str">
        <f ca="1">OFFSET(L!$C$1,MATCH("Declaration"&amp;ADDRESS(ROW(),COLUMN(),4),L!$A:$A,0)-1,SL,,)</f>
        <v>Company Information</v>
      </c>
      <c r="C7" s="421"/>
      <c r="D7" s="421"/>
      <c r="E7" s="421"/>
      <c r="F7" s="421"/>
      <c r="G7" s="421"/>
      <c r="H7" s="421"/>
      <c r="I7" s="421"/>
      <c r="J7" s="421"/>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8" t="s">
        <v>15494</v>
      </c>
      <c r="E8" s="409"/>
      <c r="F8" s="409"/>
      <c r="G8" s="409"/>
      <c r="H8" s="409"/>
      <c r="I8" s="409"/>
      <c r="J8" s="410"/>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8" t="s">
        <v>564</v>
      </c>
      <c r="E9" s="419"/>
      <c r="F9" s="419"/>
      <c r="G9" s="420"/>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2" t="str">
        <f ca="1">OFFSET(L!$C$1,MATCH("Declaration"&amp;ADDRESS(ROW(),COLUMN(),4)&amp;LEFT($D$9,1),L!$A:$A,0)-1,SL,,)</f>
        <v>Description of Scope:</v>
      </c>
      <c r="C10" s="155"/>
      <c r="D10" s="413"/>
      <c r="E10" s="414"/>
      <c r="F10" s="414"/>
      <c r="G10" s="414"/>
      <c r="H10" s="414"/>
      <c r="I10" s="414"/>
      <c r="J10" s="415"/>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3"/>
      <c r="C11" s="155"/>
      <c r="D11" s="435" t="str">
        <f ca="1">IF(D9=Q9,OFFSET(L!$C$1,MATCH("Declaration"&amp;ADDRESS(ROW(),COLUMN(),4),L!$A:$A,0)-1,SL,,),"")</f>
        <v/>
      </c>
      <c r="E11" s="436"/>
      <c r="F11" s="436"/>
      <c r="G11" s="436"/>
      <c r="H11" s="436"/>
      <c r="I11" s="436"/>
      <c r="J11" s="43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24" t="s">
        <v>15495</v>
      </c>
      <c r="E12" s="425"/>
      <c r="F12" s="425"/>
      <c r="G12" s="425"/>
      <c r="H12" s="425"/>
      <c r="I12" s="425"/>
      <c r="J12" s="426"/>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11" t="s">
        <v>15496</v>
      </c>
      <c r="E13" s="395"/>
      <c r="F13" s="395"/>
      <c r="G13" s="395"/>
      <c r="H13" s="395"/>
      <c r="I13" s="395"/>
      <c r="J13" s="396"/>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11" t="s">
        <v>15497</v>
      </c>
      <c r="E14" s="395"/>
      <c r="F14" s="395"/>
      <c r="G14" s="395"/>
      <c r="H14" s="395"/>
      <c r="I14" s="395"/>
      <c r="J14" s="396"/>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11" t="s">
        <v>15498</v>
      </c>
      <c r="E15" s="395"/>
      <c r="F15" s="395"/>
      <c r="G15" s="395"/>
      <c r="H15" s="395"/>
      <c r="I15" s="395"/>
      <c r="J15" s="396"/>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4" t="s">
        <v>15499</v>
      </c>
      <c r="E16" s="425"/>
      <c r="F16" s="425"/>
      <c r="G16" s="425"/>
      <c r="H16" s="425"/>
      <c r="I16" s="425"/>
      <c r="J16" s="426"/>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94" t="s">
        <v>15500</v>
      </c>
      <c r="E17" s="395"/>
      <c r="F17" s="395"/>
      <c r="G17" s="395"/>
      <c r="H17" s="395"/>
      <c r="I17" s="395"/>
      <c r="J17" s="396"/>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11" t="s">
        <v>15501</v>
      </c>
      <c r="E18" s="395"/>
      <c r="F18" s="395"/>
      <c r="G18" s="395"/>
      <c r="H18" s="395"/>
      <c r="I18" s="395"/>
      <c r="J18" s="396"/>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11" t="s">
        <v>15502</v>
      </c>
      <c r="E19" s="395"/>
      <c r="F19" s="395"/>
      <c r="G19" s="395"/>
      <c r="H19" s="395"/>
      <c r="I19" s="395"/>
      <c r="J19" s="396"/>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7" t="s">
        <v>15503</v>
      </c>
      <c r="E20" s="428"/>
      <c r="F20" s="428"/>
      <c r="G20" s="428"/>
      <c r="H20" s="428"/>
      <c r="I20" s="428"/>
      <c r="J20" s="42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8" t="s">
        <v>15504</v>
      </c>
      <c r="E21" s="389"/>
      <c r="F21" s="389"/>
      <c r="G21" s="389"/>
      <c r="H21" s="389"/>
      <c r="I21" s="389"/>
      <c r="J21" s="390"/>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91">
        <v>43630</v>
      </c>
      <c r="E22" s="392"/>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32"/>
      <c r="E23" s="43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3" t="str">
        <f ca="1">OFFSET(L!$C$1,MATCH("Declaration"&amp;ADDRESS(ROW(),COLUMN(),4),L!$A:$A,0)-1,SL,,)</f>
        <v>Answer the following questions 1 - 7 based on the declaration scope indicated above</v>
      </c>
      <c r="C24" s="393"/>
      <c r="D24" s="393"/>
      <c r="E24" s="393"/>
      <c r="F24" s="393"/>
      <c r="G24" s="393"/>
      <c r="H24" s="393"/>
      <c r="I24" s="393"/>
      <c r="J24" s="393"/>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0" t="s">
        <v>559</v>
      </c>
      <c r="E26" s="381"/>
      <c r="F26" s="15"/>
      <c r="G26" s="382"/>
      <c r="H26" s="383"/>
      <c r="I26" s="383"/>
      <c r="J26" s="384"/>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0" t="s">
        <v>558</v>
      </c>
      <c r="E27" s="381"/>
      <c r="F27" s="15"/>
      <c r="G27" s="382"/>
      <c r="H27" s="383"/>
      <c r="I27" s="383"/>
      <c r="J27" s="384"/>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0" t="s">
        <v>558</v>
      </c>
      <c r="E28" s="381"/>
      <c r="F28" s="15"/>
      <c r="G28" s="382"/>
      <c r="H28" s="383"/>
      <c r="I28" s="383"/>
      <c r="J28" s="384"/>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0" t="s">
        <v>558</v>
      </c>
      <c r="E29" s="381"/>
      <c r="F29" s="15"/>
      <c r="G29" s="382"/>
      <c r="H29" s="383"/>
      <c r="I29" s="383"/>
      <c r="J29" s="384"/>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7" t="str">
        <f ca="1">D25</f>
        <v>Answer</v>
      </c>
      <c r="E31" s="387"/>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7"/>
      <c r="E32" s="398"/>
      <c r="F32" s="58"/>
      <c r="G32" s="382"/>
      <c r="H32" s="383"/>
      <c r="I32" s="383"/>
      <c r="J32" s="384"/>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0" t="s">
        <v>558</v>
      </c>
      <c r="E33" s="381"/>
      <c r="F33" s="58"/>
      <c r="G33" s="382"/>
      <c r="H33" s="383"/>
      <c r="I33" s="383"/>
      <c r="J33" s="384"/>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0" t="s">
        <v>558</v>
      </c>
      <c r="E34" s="381"/>
      <c r="F34" s="58"/>
      <c r="G34" s="382"/>
      <c r="H34" s="383"/>
      <c r="I34" s="383"/>
      <c r="J34" s="384"/>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0" t="s">
        <v>558</v>
      </c>
      <c r="E35" s="381"/>
      <c r="F35" s="58"/>
      <c r="G35" s="382"/>
      <c r="H35" s="383"/>
      <c r="I35" s="383"/>
      <c r="J35" s="384"/>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7" t="str">
        <f ca="1">D25</f>
        <v>Answer</v>
      </c>
      <c r="E37" s="387"/>
      <c r="F37" s="21"/>
      <c r="G37" s="55" t="str">
        <f ca="1">G25</f>
        <v>Comments</v>
      </c>
      <c r="H37" s="431"/>
      <c r="I37" s="431"/>
      <c r="J37" s="431"/>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0"/>
      <c r="E38" s="381"/>
      <c r="F38" s="58"/>
      <c r="G38" s="382"/>
      <c r="H38" s="383"/>
      <c r="I38" s="383"/>
      <c r="J38" s="384"/>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0" t="s">
        <v>559</v>
      </c>
      <c r="E39" s="381"/>
      <c r="F39" s="58"/>
      <c r="G39" s="382"/>
      <c r="H39" s="383"/>
      <c r="I39" s="383"/>
      <c r="J39" s="384"/>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0" t="s">
        <v>559</v>
      </c>
      <c r="E40" s="381"/>
      <c r="F40" s="58"/>
      <c r="G40" s="382"/>
      <c r="H40" s="383"/>
      <c r="I40" s="383"/>
      <c r="J40" s="384"/>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0" t="s">
        <v>559</v>
      </c>
      <c r="E41" s="381"/>
      <c r="F41" s="58"/>
      <c r="G41" s="382"/>
      <c r="H41" s="383"/>
      <c r="I41" s="383"/>
      <c r="J41" s="384"/>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7" t="str">
        <f ca="1">D25</f>
        <v>Answer</v>
      </c>
      <c r="E43" s="38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80"/>
      <c r="E44" s="381"/>
      <c r="F44" s="58"/>
      <c r="G44" s="382"/>
      <c r="H44" s="383"/>
      <c r="I44" s="383"/>
      <c r="J44" s="384"/>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0" t="s">
        <v>559</v>
      </c>
      <c r="E45" s="381"/>
      <c r="F45" s="58"/>
      <c r="G45" s="382"/>
      <c r="H45" s="383"/>
      <c r="I45" s="383"/>
      <c r="J45" s="384"/>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80" t="s">
        <v>559</v>
      </c>
      <c r="E46" s="381"/>
      <c r="F46" s="58"/>
      <c r="G46" s="382"/>
      <c r="H46" s="383"/>
      <c r="I46" s="383"/>
      <c r="J46" s="384"/>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0" t="s">
        <v>559</v>
      </c>
      <c r="E47" s="381"/>
      <c r="F47" s="58"/>
      <c r="G47" s="382"/>
      <c r="H47" s="383"/>
      <c r="I47" s="383"/>
      <c r="J47" s="384"/>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7" t="str">
        <f ca="1">D25</f>
        <v>Answer</v>
      </c>
      <c r="E49" s="38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5"/>
      <c r="E50" s="386"/>
      <c r="F50" s="58"/>
      <c r="G50" s="382"/>
      <c r="H50" s="383"/>
      <c r="I50" s="383"/>
      <c r="J50" s="384"/>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5">
        <v>1</v>
      </c>
      <c r="E51" s="386"/>
      <c r="F51" s="58"/>
      <c r="G51" s="382"/>
      <c r="H51" s="383"/>
      <c r="I51" s="383"/>
      <c r="J51" s="384"/>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5">
        <v>1</v>
      </c>
      <c r="E52" s="386"/>
      <c r="F52" s="58"/>
      <c r="G52" s="382"/>
      <c r="H52" s="383"/>
      <c r="I52" s="383"/>
      <c r="J52" s="384"/>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85">
        <v>1</v>
      </c>
      <c r="E53" s="386"/>
      <c r="F53" s="58"/>
      <c r="G53" s="382"/>
      <c r="H53" s="383"/>
      <c r="I53" s="383"/>
      <c r="J53" s="384"/>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7" t="str">
        <f ca="1">D25</f>
        <v>Answer</v>
      </c>
      <c r="E55" s="387"/>
      <c r="F55" s="21"/>
      <c r="G55" s="55" t="str">
        <f ca="1">G25</f>
        <v>Comments</v>
      </c>
      <c r="H55" s="430"/>
      <c r="I55" s="430"/>
      <c r="J55" s="43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7"/>
      <c r="E56" s="398"/>
      <c r="F56" s="58"/>
      <c r="G56" s="382"/>
      <c r="H56" s="383"/>
      <c r="I56" s="383"/>
      <c r="J56" s="384"/>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80" t="s">
        <v>558</v>
      </c>
      <c r="E57" s="381"/>
      <c r="F57" s="58"/>
      <c r="G57" s="382"/>
      <c r="H57" s="383"/>
      <c r="I57" s="383"/>
      <c r="J57" s="384"/>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80" t="s">
        <v>558</v>
      </c>
      <c r="E58" s="381"/>
      <c r="F58" s="58"/>
      <c r="G58" s="382"/>
      <c r="H58" s="383"/>
      <c r="I58" s="383"/>
      <c r="J58" s="384"/>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80" t="s">
        <v>558</v>
      </c>
      <c r="E59" s="381"/>
      <c r="F59" s="58"/>
      <c r="G59" s="382"/>
      <c r="H59" s="383"/>
      <c r="I59" s="383"/>
      <c r="J59" s="384"/>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7" t="str">
        <f ca="1">D25</f>
        <v>Answer</v>
      </c>
      <c r="E61" s="387"/>
      <c r="F61" s="21"/>
      <c r="G61" s="55" t="str">
        <f ca="1">G25</f>
        <v>Comments</v>
      </c>
      <c r="H61" s="430" t="str">
        <f>IF(Q69="(*)","Click here to enter smelter names","")</f>
        <v/>
      </c>
      <c r="I61" s="430"/>
      <c r="J61" s="43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80"/>
      <c r="E62" s="381"/>
      <c r="F62" s="59"/>
      <c r="G62" s="382"/>
      <c r="H62" s="383"/>
      <c r="I62" s="383"/>
      <c r="J62" s="384"/>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80" t="s">
        <v>558</v>
      </c>
      <c r="E63" s="381"/>
      <c r="F63" s="59"/>
      <c r="G63" s="382"/>
      <c r="H63" s="383"/>
      <c r="I63" s="383"/>
      <c r="J63" s="384"/>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80" t="s">
        <v>558</v>
      </c>
      <c r="E64" s="381"/>
      <c r="F64" s="59"/>
      <c r="G64" s="382"/>
      <c r="H64" s="383"/>
      <c r="I64" s="383"/>
      <c r="J64" s="384"/>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80" t="s">
        <v>558</v>
      </c>
      <c r="E65" s="381"/>
      <c r="F65" s="61"/>
      <c r="G65" s="382"/>
      <c r="H65" s="383"/>
      <c r="I65" s="383"/>
      <c r="J65" s="384"/>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44" t="str">
        <f ca="1">OFFSET(L!$C$1,MATCH("Declaration"&amp;ADDRESS(ROW(),COLUMN(),4),L!$A:$A,0)-1,SL,,)</f>
        <v>Answer the Following Questions at a Company Level</v>
      </c>
      <c r="C67" s="444"/>
      <c r="D67" s="444"/>
      <c r="E67" s="444"/>
      <c r="F67" s="444"/>
      <c r="G67" s="444"/>
      <c r="H67" s="444"/>
      <c r="I67" s="444"/>
      <c r="J67" s="44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33" t="str">
        <f ca="1">D25</f>
        <v>Answer</v>
      </c>
      <c r="E68" s="433"/>
      <c r="F68" s="64"/>
      <c r="G68" s="433" t="str">
        <f ca="1">G25</f>
        <v>Comments</v>
      </c>
      <c r="H68" s="433" t="e">
        <f>HLOOKUP(SL,LT,$O68,0)</f>
        <v>#NAME?</v>
      </c>
      <c r="I68" s="43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0" t="s">
        <v>558</v>
      </c>
      <c r="E69" s="381"/>
      <c r="F69" s="68"/>
      <c r="G69" s="347"/>
      <c r="H69" s="348"/>
      <c r="I69" s="348"/>
      <c r="J69" s="349"/>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34"/>
      <c r="H70" s="434"/>
      <c r="I70" s="434"/>
      <c r="J70" s="434"/>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0" t="s">
        <v>558</v>
      </c>
      <c r="E71" s="381"/>
      <c r="F71" s="68"/>
      <c r="G71" s="399" t="s">
        <v>15505</v>
      </c>
      <c r="H71" s="400"/>
      <c r="I71" s="400"/>
      <c r="J71" s="401"/>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0" t="s">
        <v>558</v>
      </c>
      <c r="E73" s="381"/>
      <c r="F73" s="68"/>
      <c r="G73" s="382"/>
      <c r="H73" s="383"/>
      <c r="I73" s="383"/>
      <c r="J73" s="384"/>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0" t="s">
        <v>558</v>
      </c>
      <c r="E75" s="381"/>
      <c r="F75" s="68"/>
      <c r="G75" s="382"/>
      <c r="H75" s="383"/>
      <c r="I75" s="383"/>
      <c r="J75" s="384"/>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0" t="s">
        <v>558</v>
      </c>
      <c r="E77" s="381"/>
      <c r="F77" s="68"/>
      <c r="G77" s="382"/>
      <c r="H77" s="383"/>
      <c r="I77" s="383"/>
      <c r="J77" s="384"/>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41" t="s">
        <v>13311</v>
      </c>
      <c r="E79" s="442"/>
      <c r="F79" s="68"/>
      <c r="G79" s="382"/>
      <c r="H79" s="383"/>
      <c r="I79" s="383"/>
      <c r="J79" s="384"/>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34"/>
      <c r="H80" s="434"/>
      <c r="I80" s="434"/>
      <c r="J80" s="434"/>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0" t="s">
        <v>558</v>
      </c>
      <c r="E81" s="381"/>
      <c r="F81" s="68"/>
      <c r="G81" s="382"/>
      <c r="H81" s="383"/>
      <c r="I81" s="383"/>
      <c r="J81" s="384"/>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43"/>
      <c r="H82" s="443"/>
      <c r="I82" s="443"/>
      <c r="J82" s="44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0" t="s">
        <v>558</v>
      </c>
      <c r="E83" s="381"/>
      <c r="F83" s="68"/>
      <c r="G83" s="382"/>
      <c r="H83" s="383"/>
      <c r="I83" s="383"/>
      <c r="J83" s="384"/>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0" t="s">
        <v>558</v>
      </c>
      <c r="E85" s="381"/>
      <c r="F85" s="68"/>
      <c r="G85" s="382"/>
      <c r="H85" s="383"/>
      <c r="I85" s="383"/>
      <c r="J85" s="384"/>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40" t="str">
        <f>IF(OR($D$8="",$I$3=""),"","Click here to check required fields completion")</f>
        <v/>
      </c>
      <c r="C86" s="440"/>
      <c r="D86" s="440"/>
      <c r="E86" s="440"/>
      <c r="F86" s="440"/>
      <c r="G86" s="440"/>
      <c r="H86" s="440"/>
      <c r="I86" s="440"/>
      <c r="J86" s="44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38" t="str">
        <f ca="1">OFFSET(L!$C$1,MATCH("General"&amp;"Cpy",L!$A:$A,0)-1,SL,,)</f>
        <v>© 2019 Responsible Minerals Initiative. All rights reserved.</v>
      </c>
      <c r="B87" s="439"/>
      <c r="C87" s="439"/>
      <c r="D87" s="439"/>
      <c r="E87" s="439"/>
      <c r="F87" s="439"/>
      <c r="G87" s="439"/>
      <c r="H87" s="439"/>
      <c r="I87" s="439"/>
      <c r="J87" s="43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6">
    <mergeCell ref="D65:E65"/>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77" priority="155" stopIfTrue="1">
      <formula>AND(OR($D$26="No",AND($D$26="Yes",$D$32="No")),OR($D$27="No",AND($D$27="Yes",$D$33="No")), OR($D$28="No",AND($D$28="Yes",$D$34="No")), OR($D$29="No",AND($D$29="Yes",$D$35="No")))</formula>
    </cfRule>
    <cfRule type="expression" dxfId="176" priority="156" stopIfTrue="1">
      <formula>IF(D69="",TRUE)</formula>
    </cfRule>
  </conditionalFormatting>
  <conditionalFormatting sqref="G71:J71">
    <cfRule type="expression" dxfId="175" priority="127" stopIfTrue="1">
      <formula>IF(AND($D$71="Yes",$G$71=""),TRUE)</formula>
    </cfRule>
  </conditionalFormatting>
  <conditionalFormatting sqref="D26:E26">
    <cfRule type="expression" dxfId="174" priority="207" stopIfTrue="1">
      <formula>IF($D$26="",TRUE)</formula>
    </cfRule>
  </conditionalFormatting>
  <conditionalFormatting sqref="D27:E27">
    <cfRule type="expression" dxfId="173" priority="214" stopIfTrue="1">
      <formula>IF($D$27="",TRUE)</formula>
    </cfRule>
  </conditionalFormatting>
  <conditionalFormatting sqref="D28:E28">
    <cfRule type="expression" dxfId="172" priority="215" stopIfTrue="1">
      <formula>IF($D$28="",TRUE)</formula>
    </cfRule>
  </conditionalFormatting>
  <conditionalFormatting sqref="D29:E29">
    <cfRule type="expression" dxfId="171" priority="216" stopIfTrue="1">
      <formula>IF($D$29="",TRUE)</formula>
    </cfRule>
  </conditionalFormatting>
  <conditionalFormatting sqref="D9:G9">
    <cfRule type="expression" dxfId="170" priority="222" stopIfTrue="1">
      <formula>IF($D$9="",TRUE)</formula>
    </cfRule>
  </conditionalFormatting>
  <conditionalFormatting sqref="D22:E22">
    <cfRule type="expression" dxfId="169" priority="229" stopIfTrue="1">
      <formula>IF($D$22="",TRUE)</formula>
    </cfRule>
  </conditionalFormatting>
  <conditionalFormatting sqref="D10:J10">
    <cfRule type="expression" dxfId="168" priority="126" stopIfTrue="1">
      <formula>IF($D$9=$Q$9,TRUE)</formula>
    </cfRule>
    <cfRule type="expression" dxfId="167" priority="236" stopIfTrue="1">
      <formula>IF(AND($D$10="",$D$9=$R$9),TRUE)</formula>
    </cfRule>
  </conditionalFormatting>
  <conditionalFormatting sqref="D34:E34 D40:E40 D46:E46 D52:E52 D58:E58 D64:E64">
    <cfRule type="expression" dxfId="166" priority="119" stopIfTrue="1">
      <formula>$P$28=""</formula>
    </cfRule>
  </conditionalFormatting>
  <conditionalFormatting sqref="D35:E35 D41:E41 D47:E47 D53:E53 D59:E59 D65:E65">
    <cfRule type="expression" dxfId="165" priority="234" stopIfTrue="1">
      <formula>$P$29=""</formula>
    </cfRule>
  </conditionalFormatting>
  <conditionalFormatting sqref="D32:E32">
    <cfRule type="expression" dxfId="164" priority="212" stopIfTrue="1">
      <formula>$P$26=""</formula>
    </cfRule>
  </conditionalFormatting>
  <conditionalFormatting sqref="D32:E32">
    <cfRule type="expression" dxfId="163" priority="125" stopIfTrue="1">
      <formula>IF(AND(OR($D$26="Yes",$D$26=""),$D$32=""),1,0)</formula>
    </cfRule>
  </conditionalFormatting>
  <conditionalFormatting sqref="D38 D44 D50 D56 D62">
    <cfRule type="expression" dxfId="162" priority="121" stopIfTrue="1">
      <formula>$P$32=""</formula>
    </cfRule>
  </conditionalFormatting>
  <conditionalFormatting sqref="D39:E39 D45 D51 D57 D63">
    <cfRule type="expression" dxfId="161" priority="120" stopIfTrue="1">
      <formula>$P$33=""</formula>
    </cfRule>
  </conditionalFormatting>
  <conditionalFormatting sqref="D40 D46 D52 D58 D64">
    <cfRule type="expression" dxfId="160" priority="110" stopIfTrue="1">
      <formula>$P$34=""</formula>
    </cfRule>
    <cfRule type="expression" dxfId="159" priority="232" stopIfTrue="1">
      <formula>IF(AND(OR($D$28="Yes",$D$28=""),D40=""),1,0)</formula>
    </cfRule>
  </conditionalFormatting>
  <conditionalFormatting sqref="D41 D47 D53 D59 D65">
    <cfRule type="expression" dxfId="158" priority="118" stopIfTrue="1">
      <formula>$P$35=""</formula>
    </cfRule>
  </conditionalFormatting>
  <conditionalFormatting sqref="D38:E38 D44:E44 D50:E50 D56:E56 D62:E62">
    <cfRule type="expression" dxfId="157" priority="123" stopIfTrue="1">
      <formula>$P$26=""</formula>
    </cfRule>
    <cfRule type="expression" dxfId="156" priority="124" stopIfTrue="1">
      <formula>IF(AND(OR($D$26="Yes",$D$26=""),D38=""),1,0)</formula>
    </cfRule>
  </conditionalFormatting>
  <conditionalFormatting sqref="G79:J79">
    <cfRule type="expression" dxfId="155" priority="117" stopIfTrue="1">
      <formula>IF(AND($D$79="Yes, using other format (describe)",$G$79=""),TRUE)</formula>
    </cfRule>
  </conditionalFormatting>
  <conditionalFormatting sqref="D39:E39 D45:E45 D51:E51 D57:E57 D63:E63">
    <cfRule type="expression" dxfId="154" priority="230" stopIfTrue="1">
      <formula>$P$39=""</formula>
    </cfRule>
    <cfRule type="expression" dxfId="153" priority="231" stopIfTrue="1">
      <formula>IF(AND(OR($D$27="Yes",$D$27=""),D39=""),1,0)</formula>
    </cfRule>
  </conditionalFormatting>
  <conditionalFormatting sqref="D33:E33">
    <cfRule type="expression" dxfId="152" priority="112" stopIfTrue="1">
      <formula>IF(AND(OR($D$27="Yes",$D$27=""),$D$33=""),1,0)</formula>
    </cfRule>
    <cfRule type="expression" dxfId="151" priority="113" stopIfTrue="1">
      <formula>$P$27=""</formula>
    </cfRule>
  </conditionalFormatting>
  <conditionalFormatting sqref="D34:E34">
    <cfRule type="expression" dxfId="150" priority="233" stopIfTrue="1">
      <formula>IF(AND(OR($D$28="Yes",$D$28=""),$D$34=""),1,0)</formula>
    </cfRule>
  </conditionalFormatting>
  <conditionalFormatting sqref="D41:E41 D47:E47 D53:E53 D59:E59 D65:E65">
    <cfRule type="expression" dxfId="149" priority="235" stopIfTrue="1">
      <formula>IF(AND(OR($D$29="Yes",$D$29=""),D41=""),1,0)</formula>
    </cfRule>
  </conditionalFormatting>
  <conditionalFormatting sqref="D35:E35">
    <cfRule type="expression" dxfId="148" priority="109" stopIfTrue="1">
      <formula>IF(AND(OR($D$29="Yes",$D$29=""),$D$35=""),1,0)</formula>
    </cfRule>
  </conditionalFormatting>
  <conditionalFormatting sqref="D8:J8">
    <cfRule type="expression" dxfId="147" priority="104" stopIfTrue="1">
      <formula>IF($D$8="",TRUE)</formula>
    </cfRule>
  </conditionalFormatting>
  <conditionalFormatting sqref="D8:J8">
    <cfRule type="expression" dxfId="146" priority="103" stopIfTrue="1">
      <formula>IF($D$8="",TRUE)</formula>
    </cfRule>
  </conditionalFormatting>
  <conditionalFormatting sqref="D8:J8">
    <cfRule type="expression" dxfId="145" priority="102" stopIfTrue="1">
      <formula>IF($D$8="",TRUE)</formula>
    </cfRule>
  </conditionalFormatting>
  <conditionalFormatting sqref="D8:J8">
    <cfRule type="expression" dxfId="144" priority="101" stopIfTrue="1">
      <formula>IF($D$8="",TRUE)</formula>
    </cfRule>
  </conditionalFormatting>
  <conditionalFormatting sqref="D8:J8">
    <cfRule type="expression" dxfId="143" priority="100" stopIfTrue="1">
      <formula>IF($D$8="",TRUE)</formula>
    </cfRule>
  </conditionalFormatting>
  <conditionalFormatting sqref="D8:J8">
    <cfRule type="expression" dxfId="142" priority="99" stopIfTrue="1">
      <formula>IF($D$8="",TRUE)</formula>
    </cfRule>
  </conditionalFormatting>
  <conditionalFormatting sqref="D8:J8">
    <cfRule type="expression" dxfId="141" priority="98" stopIfTrue="1">
      <formula>IF($D$8="",TRUE)</formula>
    </cfRule>
  </conditionalFormatting>
  <conditionalFormatting sqref="D8:J8">
    <cfRule type="expression" dxfId="140" priority="97" stopIfTrue="1">
      <formula>IF($D$8="",TRUE)</formula>
    </cfRule>
  </conditionalFormatting>
  <conditionalFormatting sqref="D8:J8">
    <cfRule type="expression" dxfId="139" priority="96" stopIfTrue="1">
      <formula>IF($D$8="",TRUE)</formula>
    </cfRule>
  </conditionalFormatting>
  <conditionalFormatting sqref="D8:J8">
    <cfRule type="expression" dxfId="138" priority="95" stopIfTrue="1">
      <formula>IF($D$8="",TRUE)</formula>
    </cfRule>
  </conditionalFormatting>
  <conditionalFormatting sqref="D15:J15">
    <cfRule type="expression" dxfId="137" priority="91" stopIfTrue="1">
      <formula>IF($D$15="",TRUE)</formula>
    </cfRule>
  </conditionalFormatting>
  <conditionalFormatting sqref="D16:J16">
    <cfRule type="expression" dxfId="136" priority="92" stopIfTrue="1">
      <formula>IF($D$16="",TRUE)</formula>
    </cfRule>
  </conditionalFormatting>
  <conditionalFormatting sqref="D17:J17">
    <cfRule type="expression" dxfId="135" priority="93" stopIfTrue="1">
      <formula>IF($D$17="",TRUE)</formula>
    </cfRule>
  </conditionalFormatting>
  <conditionalFormatting sqref="D18:J18">
    <cfRule type="expression" dxfId="134" priority="94" stopIfTrue="1">
      <formula>IF($D$18="",TRUE)</formula>
    </cfRule>
  </conditionalFormatting>
  <conditionalFormatting sqref="D20:J20">
    <cfRule type="expression" dxfId="133" priority="89" stopIfTrue="1">
      <formula>IF($D$20="",TRUE)</formula>
    </cfRule>
  </conditionalFormatting>
  <conditionalFormatting sqref="D21:J21">
    <cfRule type="expression" dxfId="132" priority="90" stopIfTrue="1">
      <formula>IF($D$21="",TRUE)</formula>
    </cfRule>
  </conditionalFormatting>
  <conditionalFormatting sqref="D15:J15">
    <cfRule type="expression" dxfId="131" priority="88" stopIfTrue="1">
      <formula>IF($D$15="",TRUE)</formula>
    </cfRule>
  </conditionalFormatting>
  <conditionalFormatting sqref="D16:J16">
    <cfRule type="expression" dxfId="130" priority="87" stopIfTrue="1">
      <formula>IF($D$16="",TRUE)</formula>
    </cfRule>
  </conditionalFormatting>
  <conditionalFormatting sqref="D17:J17">
    <cfRule type="expression" dxfId="129" priority="86" stopIfTrue="1">
      <formula>IF($D$17="",TRUE)</formula>
    </cfRule>
  </conditionalFormatting>
  <conditionalFormatting sqref="D18:J18">
    <cfRule type="expression" dxfId="128" priority="85" stopIfTrue="1">
      <formula>IF($D$18="",TRUE)</formula>
    </cfRule>
  </conditionalFormatting>
  <conditionalFormatting sqref="D20:J20">
    <cfRule type="expression" dxfId="127" priority="84" stopIfTrue="1">
      <formula>IF($D$20="",TRUE)</formula>
    </cfRule>
  </conditionalFormatting>
  <conditionalFormatting sqref="D21:J21">
    <cfRule type="expression" dxfId="126" priority="83" stopIfTrue="1">
      <formula>IF($D$21="",TRUE)</formula>
    </cfRule>
  </conditionalFormatting>
  <conditionalFormatting sqref="D15:J15">
    <cfRule type="expression" dxfId="125" priority="82" stopIfTrue="1">
      <formula>IF($D$15="",TRUE)</formula>
    </cfRule>
  </conditionalFormatting>
  <conditionalFormatting sqref="D17:J17">
    <cfRule type="expression" dxfId="124" priority="81" stopIfTrue="1">
      <formula>IF($D$17="",TRUE)</formula>
    </cfRule>
  </conditionalFormatting>
  <conditionalFormatting sqref="D18:J18">
    <cfRule type="expression" dxfId="123" priority="80" stopIfTrue="1">
      <formula>IF($D$18="",TRUE)</formula>
    </cfRule>
  </conditionalFormatting>
  <conditionalFormatting sqref="D20:J20">
    <cfRule type="expression" dxfId="122" priority="79" stopIfTrue="1">
      <formula>IF($D$20="",TRUE)</formula>
    </cfRule>
  </conditionalFormatting>
  <conditionalFormatting sqref="D21:J21">
    <cfRule type="expression" dxfId="121" priority="78" stopIfTrue="1">
      <formula>IF($D$21="",TRUE)</formula>
    </cfRule>
  </conditionalFormatting>
  <conditionalFormatting sqref="D17:J17">
    <cfRule type="expression" dxfId="120" priority="77" stopIfTrue="1">
      <formula>IF($D$16="",TRUE)</formula>
    </cfRule>
  </conditionalFormatting>
  <conditionalFormatting sqref="D18:J18">
    <cfRule type="expression" dxfId="119" priority="76" stopIfTrue="1">
      <formula>IF($D$17="",TRUE)</formula>
    </cfRule>
  </conditionalFormatting>
  <conditionalFormatting sqref="D19:J19">
    <cfRule type="expression" dxfId="118" priority="75" stopIfTrue="1">
      <formula>IF($D$18="",TRUE)</formula>
    </cfRule>
  </conditionalFormatting>
  <conditionalFormatting sqref="D17:J17">
    <cfRule type="expression" dxfId="117" priority="74" stopIfTrue="1">
      <formula>IF($D$16="",TRUE)</formula>
    </cfRule>
  </conditionalFormatting>
  <conditionalFormatting sqref="D18:J18">
    <cfRule type="expression" dxfId="116" priority="73" stopIfTrue="1">
      <formula>IF($D$17="",TRUE)</formula>
    </cfRule>
  </conditionalFormatting>
  <conditionalFormatting sqref="D19:J19">
    <cfRule type="expression" dxfId="115" priority="72" stopIfTrue="1">
      <formula>IF($D$18="",TRUE)</formula>
    </cfRule>
  </conditionalFormatting>
  <conditionalFormatting sqref="D17">
    <cfRule type="expression" dxfId="114" priority="71" stopIfTrue="1">
      <formula>IF($D$16="",TRUE)</formula>
    </cfRule>
  </conditionalFormatting>
  <conditionalFormatting sqref="D18">
    <cfRule type="expression" dxfId="113" priority="70" stopIfTrue="1">
      <formula>IF($D$17="",TRUE)</formula>
    </cfRule>
  </conditionalFormatting>
  <conditionalFormatting sqref="D19">
    <cfRule type="expression" dxfId="112" priority="69" stopIfTrue="1">
      <formula>IF($D$18="",TRUE)</formula>
    </cfRule>
  </conditionalFormatting>
  <conditionalFormatting sqref="D17">
    <cfRule type="expression" dxfId="111" priority="68" stopIfTrue="1">
      <formula>IF($D$16="",TRUE)</formula>
    </cfRule>
  </conditionalFormatting>
  <conditionalFormatting sqref="D18">
    <cfRule type="expression" dxfId="110" priority="67" stopIfTrue="1">
      <formula>IF($D$17="",TRUE)</formula>
    </cfRule>
  </conditionalFormatting>
  <conditionalFormatting sqref="D19">
    <cfRule type="expression" dxfId="109" priority="66" stopIfTrue="1">
      <formula>IF($D$18="",TRUE)</formula>
    </cfRule>
  </conditionalFormatting>
  <conditionalFormatting sqref="D17:J17">
    <cfRule type="expression" dxfId="108" priority="65" stopIfTrue="1">
      <formula>IF($D$16="",TRUE)</formula>
    </cfRule>
  </conditionalFormatting>
  <conditionalFormatting sqref="D18:J18">
    <cfRule type="expression" dxfId="107" priority="64" stopIfTrue="1">
      <formula>IF($D$17="",TRUE)</formula>
    </cfRule>
  </conditionalFormatting>
  <conditionalFormatting sqref="D19:J19">
    <cfRule type="expression" dxfId="106" priority="63" stopIfTrue="1">
      <formula>IF($D$18="",TRUE)</formula>
    </cfRule>
  </conditionalFormatting>
  <conditionalFormatting sqref="D17:J17">
    <cfRule type="expression" dxfId="105" priority="62" stopIfTrue="1">
      <formula>IF($D$16="",TRUE)</formula>
    </cfRule>
  </conditionalFormatting>
  <conditionalFormatting sqref="D18:J18">
    <cfRule type="expression" dxfId="104" priority="61" stopIfTrue="1">
      <formula>IF($D$17="",TRUE)</formula>
    </cfRule>
  </conditionalFormatting>
  <conditionalFormatting sqref="D19:J19">
    <cfRule type="expression" dxfId="103" priority="60" stopIfTrue="1">
      <formula>IF($D$18="",TRUE)</formula>
    </cfRule>
  </conditionalFormatting>
  <conditionalFormatting sqref="D17:J17">
    <cfRule type="expression" dxfId="102" priority="59" stopIfTrue="1">
      <formula>IF($D$16="",TRUE)</formula>
    </cfRule>
  </conditionalFormatting>
  <conditionalFormatting sqref="D18:J18">
    <cfRule type="expression" dxfId="101" priority="58" stopIfTrue="1">
      <formula>IF($D$17="",TRUE)</formula>
    </cfRule>
  </conditionalFormatting>
  <conditionalFormatting sqref="D19:J19">
    <cfRule type="expression" dxfId="100" priority="57" stopIfTrue="1">
      <formula>IF($D$18="",TRUE)</formula>
    </cfRule>
  </conditionalFormatting>
  <conditionalFormatting sqref="D20:J20">
    <cfRule type="expression" dxfId="99" priority="56" stopIfTrue="1">
      <formula>IF($D$20="",TRUE)</formula>
    </cfRule>
  </conditionalFormatting>
  <conditionalFormatting sqref="D21:J21">
    <cfRule type="expression" dxfId="98" priority="55" stopIfTrue="1">
      <formula>IF($D$21="",TRUE)</formula>
    </cfRule>
  </conditionalFormatting>
  <conditionalFormatting sqref="D20:J20">
    <cfRule type="expression" dxfId="97" priority="54" stopIfTrue="1">
      <formula>IF($D$16="",TRUE)</formula>
    </cfRule>
  </conditionalFormatting>
  <conditionalFormatting sqref="D21:J21">
    <cfRule type="expression" dxfId="96" priority="53" stopIfTrue="1">
      <formula>IF($D$17="",TRUE)</formula>
    </cfRule>
  </conditionalFormatting>
  <conditionalFormatting sqref="D20">
    <cfRule type="expression" dxfId="95" priority="52" stopIfTrue="1">
      <formula>IF($D$20="",TRUE)</formula>
    </cfRule>
  </conditionalFormatting>
  <conditionalFormatting sqref="D21">
    <cfRule type="expression" dxfId="94" priority="51" stopIfTrue="1">
      <formula>IF($D$21="",TRUE)</formula>
    </cfRule>
  </conditionalFormatting>
  <conditionalFormatting sqref="D20">
    <cfRule type="expression" dxfId="93" priority="50" stopIfTrue="1">
      <formula>IF($D$20="",TRUE)</formula>
    </cfRule>
  </conditionalFormatting>
  <conditionalFormatting sqref="D21:J21">
    <cfRule type="expression" dxfId="92" priority="49" stopIfTrue="1">
      <formula>IF($D$21="",TRUE)</formula>
    </cfRule>
  </conditionalFormatting>
  <conditionalFormatting sqref="D20:J20">
    <cfRule type="expression" dxfId="91" priority="48" stopIfTrue="1">
      <formula>IF($D$20="",TRUE)</formula>
    </cfRule>
  </conditionalFormatting>
  <conditionalFormatting sqref="D21:J21">
    <cfRule type="expression" dxfId="90" priority="47" stopIfTrue="1">
      <formula>IF($D$21="",TRUE)</formula>
    </cfRule>
  </conditionalFormatting>
  <conditionalFormatting sqref="D20:J20">
    <cfRule type="expression" dxfId="89" priority="46" stopIfTrue="1">
      <formula>IF($D$20="",TRUE)</formula>
    </cfRule>
  </conditionalFormatting>
  <conditionalFormatting sqref="D20:J20">
    <cfRule type="expression" dxfId="88" priority="45" stopIfTrue="1">
      <formula>IF($D$20="",TRUE)</formula>
    </cfRule>
  </conditionalFormatting>
  <conditionalFormatting sqref="D21:J21">
    <cfRule type="expression" dxfId="87" priority="44" stopIfTrue="1">
      <formula>IF($D$21="",TRUE)</formula>
    </cfRule>
  </conditionalFormatting>
  <conditionalFormatting sqref="D21:J21">
    <cfRule type="expression" dxfId="86" priority="43" stopIfTrue="1">
      <formula>IF($D$21="",TRUE)</formula>
    </cfRule>
  </conditionalFormatting>
  <conditionalFormatting sqref="D15:J15">
    <cfRule type="expression" dxfId="85" priority="42" stopIfTrue="1">
      <formula>IF($D$16="",TRUE)</formula>
    </cfRule>
  </conditionalFormatting>
  <conditionalFormatting sqref="D15:J15">
    <cfRule type="expression" dxfId="84" priority="41" stopIfTrue="1">
      <formula>IF($D$15="",TRUE)</formula>
    </cfRule>
  </conditionalFormatting>
  <conditionalFormatting sqref="D15:J15">
    <cfRule type="expression" dxfId="83" priority="40" stopIfTrue="1">
      <formula>IF($D$15="",TRUE)</formula>
    </cfRule>
  </conditionalFormatting>
  <conditionalFormatting sqref="D15">
    <cfRule type="expression" dxfId="82" priority="39" stopIfTrue="1">
      <formula>IF($D$15="",TRUE)</formula>
    </cfRule>
  </conditionalFormatting>
  <conditionalFormatting sqref="D15">
    <cfRule type="expression" dxfId="81" priority="38" stopIfTrue="1">
      <formula>IF($D$15="",TRUE)</formula>
    </cfRule>
  </conditionalFormatting>
  <conditionalFormatting sqref="D15:J15">
    <cfRule type="expression" dxfId="80" priority="37" stopIfTrue="1">
      <formula>IF($D$15="",TRUE)</formula>
    </cfRule>
  </conditionalFormatting>
  <conditionalFormatting sqref="D15:J15">
    <cfRule type="expression" dxfId="79" priority="36" stopIfTrue="1">
      <formula>IF($D$15="",TRUE)</formula>
    </cfRule>
  </conditionalFormatting>
  <conditionalFormatting sqref="D15:J15">
    <cfRule type="expression" dxfId="78" priority="35" stopIfTrue="1">
      <formula>IF($D$15="",TRUE)</formula>
    </cfRule>
  </conditionalFormatting>
  <conditionalFormatting sqref="D18:J18">
    <cfRule type="expression" dxfId="77" priority="34" stopIfTrue="1">
      <formula>IF($D$21="",TRUE)</formula>
    </cfRule>
  </conditionalFormatting>
  <conditionalFormatting sqref="D18:J18">
    <cfRule type="expression" dxfId="76" priority="33" stopIfTrue="1">
      <formula>IF($D$21="",TRUE)</formula>
    </cfRule>
  </conditionalFormatting>
  <conditionalFormatting sqref="D18:J18">
    <cfRule type="expression" dxfId="75" priority="32" stopIfTrue="1">
      <formula>IF($D$17="",TRUE)</formula>
    </cfRule>
  </conditionalFormatting>
  <conditionalFormatting sqref="D18">
    <cfRule type="expression" dxfId="74" priority="31" stopIfTrue="1">
      <formula>IF($D$21="",TRUE)</formula>
    </cfRule>
  </conditionalFormatting>
  <conditionalFormatting sqref="D18:J18">
    <cfRule type="expression" dxfId="73" priority="30" stopIfTrue="1">
      <formula>IF($D$21="",TRUE)</formula>
    </cfRule>
  </conditionalFormatting>
  <conditionalFormatting sqref="D18:J18">
    <cfRule type="expression" dxfId="72" priority="29" stopIfTrue="1">
      <formula>IF($D$21="",TRUE)</formula>
    </cfRule>
  </conditionalFormatting>
  <conditionalFormatting sqref="D18:J18">
    <cfRule type="expression" dxfId="71" priority="28" stopIfTrue="1">
      <formula>IF($D$21="",TRUE)</formula>
    </cfRule>
  </conditionalFormatting>
  <conditionalFormatting sqref="D18:J18">
    <cfRule type="expression" dxfId="70" priority="27" stopIfTrue="1">
      <formula>IF($D$21="",TRUE)</formula>
    </cfRule>
  </conditionalFormatting>
  <conditionalFormatting sqref="D16:J16">
    <cfRule type="expression" dxfId="69" priority="26" stopIfTrue="1">
      <formula>IF($D$17="",TRUE)</formula>
    </cfRule>
  </conditionalFormatting>
  <conditionalFormatting sqref="D16:J16">
    <cfRule type="expression" dxfId="68" priority="25" stopIfTrue="1">
      <formula>IF($D$16="",TRUE)</formula>
    </cfRule>
  </conditionalFormatting>
  <conditionalFormatting sqref="D16:J16">
    <cfRule type="expression" dxfId="67" priority="24" stopIfTrue="1">
      <formula>IF($D$16="",TRUE)</formula>
    </cfRule>
  </conditionalFormatting>
  <conditionalFormatting sqref="D16">
    <cfRule type="expression" dxfId="66" priority="23" stopIfTrue="1">
      <formula>IF($D$16="",TRUE)</formula>
    </cfRule>
  </conditionalFormatting>
  <conditionalFormatting sqref="D16">
    <cfRule type="expression" dxfId="65" priority="22" stopIfTrue="1">
      <formula>IF($D$16="",TRUE)</formula>
    </cfRule>
  </conditionalFormatting>
  <conditionalFormatting sqref="D16:J16">
    <cfRule type="expression" dxfId="64" priority="21" stopIfTrue="1">
      <formula>IF($D$16="",TRUE)</formula>
    </cfRule>
  </conditionalFormatting>
  <conditionalFormatting sqref="D16:J16">
    <cfRule type="expression" dxfId="63" priority="20" stopIfTrue="1">
      <formula>IF($D$16="",TRUE)</formula>
    </cfRule>
  </conditionalFormatting>
  <conditionalFormatting sqref="D16:J16">
    <cfRule type="expression" dxfId="62" priority="19" stopIfTrue="1">
      <formula>IF($D$16="",TRUE)</formula>
    </cfRule>
  </conditionalFormatting>
  <conditionalFormatting sqref="D15:J15">
    <cfRule type="expression" dxfId="61" priority="18" stopIfTrue="1">
      <formula>IF($D$15="",TRUE)</formula>
    </cfRule>
  </conditionalFormatting>
  <conditionalFormatting sqref="D16:J16">
    <cfRule type="expression" dxfId="60" priority="17" stopIfTrue="1">
      <formula>IF($D$16="",TRUE)</formula>
    </cfRule>
  </conditionalFormatting>
  <conditionalFormatting sqref="D17:J17">
    <cfRule type="expression" dxfId="59" priority="16" stopIfTrue="1">
      <formula>IF($D$17="",TRUE)</formula>
    </cfRule>
  </conditionalFormatting>
  <conditionalFormatting sqref="D18:J18">
    <cfRule type="expression" dxfId="58" priority="15" stopIfTrue="1">
      <formula>IF($D$18="",TRUE)</formula>
    </cfRule>
  </conditionalFormatting>
  <conditionalFormatting sqref="D20:J20">
    <cfRule type="expression" dxfId="57" priority="14" stopIfTrue="1">
      <formula>IF($D$20="",TRUE)</formula>
    </cfRule>
  </conditionalFormatting>
  <conditionalFormatting sqref="D21:J21">
    <cfRule type="expression" dxfId="56" priority="13" stopIfTrue="1">
      <formula>IF($D$21="",TRUE)</formula>
    </cfRule>
  </conditionalFormatting>
  <conditionalFormatting sqref="D15:J15">
    <cfRule type="expression" dxfId="55" priority="12" stopIfTrue="1">
      <formula>IF($D$15="",TRUE)</formula>
    </cfRule>
  </conditionalFormatting>
  <conditionalFormatting sqref="D16:J16">
    <cfRule type="expression" dxfId="54" priority="11" stopIfTrue="1">
      <formula>IF($D$16="",TRUE)</formula>
    </cfRule>
  </conditionalFormatting>
  <conditionalFormatting sqref="D17:J17">
    <cfRule type="expression" dxfId="53" priority="10" stopIfTrue="1">
      <formula>IF($D$17="",TRUE)</formula>
    </cfRule>
  </conditionalFormatting>
  <conditionalFormatting sqref="D18:J18">
    <cfRule type="expression" dxfId="52" priority="9" stopIfTrue="1">
      <formula>IF($D$18="",TRUE)</formula>
    </cfRule>
  </conditionalFormatting>
  <conditionalFormatting sqref="D20:J20">
    <cfRule type="expression" dxfId="51" priority="8" stopIfTrue="1">
      <formula>IF($D$16="",TRUE)</formula>
    </cfRule>
  </conditionalFormatting>
  <conditionalFormatting sqref="D15:J15">
    <cfRule type="expression" dxfId="50" priority="7" stopIfTrue="1">
      <formula>IF($D$15="",TRUE)</formula>
    </cfRule>
  </conditionalFormatting>
  <conditionalFormatting sqref="D16:J16">
    <cfRule type="expression" dxfId="49" priority="6" stopIfTrue="1">
      <formula>IF($D$16="",TRUE)</formula>
    </cfRule>
  </conditionalFormatting>
  <conditionalFormatting sqref="D17:J17">
    <cfRule type="expression" dxfId="48" priority="5" stopIfTrue="1">
      <formula>IF($D$17="",TRUE)</formula>
    </cfRule>
  </conditionalFormatting>
  <conditionalFormatting sqref="D18:J18">
    <cfRule type="expression" dxfId="47" priority="4" stopIfTrue="1">
      <formula>IF($D$18="",TRUE)</formula>
    </cfRule>
  </conditionalFormatting>
  <conditionalFormatting sqref="D20:J20">
    <cfRule type="expression" dxfId="46" priority="3" stopIfTrue="1">
      <formula>IF($D$20="",TRUE)</formula>
    </cfRule>
  </conditionalFormatting>
  <conditionalFormatting sqref="D21:J21">
    <cfRule type="expression" dxfId="45" priority="2" stopIfTrue="1">
      <formula>IF($D$17="",TRUE)</formula>
    </cfRule>
  </conditionalFormatting>
  <conditionalFormatting sqref="D21:J21">
    <cfRule type="expression" dxfId="4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85" zoomScaleNormal="85" zoomScalePageLayoutView="55" workbookViewId="0">
      <selection activeCell="A51" sqref="A51"/>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5" t="str">
        <f ca="1">OFFSET(L!$C$1,MATCH("Smelter List"&amp;ADDRESS(ROW(),COLUMN(),4),L!$A:$A,0)-1,SL,,)</f>
        <v>Link to "RMAP Conformant Smelter List"</v>
      </c>
      <c r="K2" s="446"/>
      <c r="L2" s="446"/>
      <c r="M2" s="446"/>
      <c r="N2" s="446"/>
      <c r="O2" s="446"/>
      <c r="P2" s="232"/>
      <c r="Q2" s="233"/>
      <c r="R2" s="234"/>
      <c r="S2" s="234"/>
      <c r="T2" s="234"/>
      <c r="U2" s="261"/>
      <c r="V2" s="261"/>
      <c r="W2" s="262"/>
      <c r="X2" s="261"/>
      <c r="Y2" s="261"/>
      <c r="Z2" s="261"/>
      <c r="AH2" s="178" t="s">
        <v>558</v>
      </c>
    </row>
    <row r="3" spans="1:34" s="263" customFormat="1" ht="255.6"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4"/>
      <c r="G3" s="448" t="str">
        <f ca="1">OFFSET(L!$C$1,MATCH("General"&amp;"Cpy",L!$A:$A,0)-1,SL,,)</f>
        <v>© 2019 Responsible Minerals Initiative. All rights reserved.</v>
      </c>
      <c r="H3" s="448"/>
      <c r="I3" s="44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741</v>
      </c>
      <c r="B5" s="216" t="str">
        <f ca="1">IF(LEN(A5)=0,"",INDEX('Smelter Look-up'!$A:$A,MATCH($A5,'Smelter Look-up'!$E:$E,0)))</f>
        <v>Gold</v>
      </c>
      <c r="C5" s="220" t="str">
        <f ca="1">IF(LEN(A5)=0,"",INDEX('Smelter Look-up'!$C:$C,MATCH($A5,'Smelter Look-up'!$E:$E,0)))</f>
        <v>Aida Chemical Industries Co., Ltd.</v>
      </c>
      <c r="D5" s="216"/>
      <c r="E5" s="216" t="str">
        <f ca="1">IF(ISERROR($V5),"",OFFSET('Smelter Look-up'!$D$4,$V5-4,0)&amp;"")</f>
        <v>JAPAN</v>
      </c>
      <c r="F5" s="216" t="str">
        <f ca="1">IF(ISERROR($V5),"",OFFSET('Smelter Look-up'!$E$4,$V5-4,0))</f>
        <v>CID000019</v>
      </c>
      <c r="G5" s="216" t="str">
        <f ca="1">IF(C5=$X$4,"Enter smelter details", IF(ISERROR($V5),"",OFFSET('Smelter Look-up'!$F$4,$V5-4,0)))</f>
        <v>RMI</v>
      </c>
      <c r="H5" s="217">
        <f ca="1">IF(ISERROR($V5),"",OFFSET('Smelter Look-up'!$G$4,$V5-4,0))</f>
        <v>0</v>
      </c>
      <c r="I5" s="218" t="str">
        <f ca="1">IF(ISERROR($V5),"",OFFSET('Smelter Look-up'!$H$4,$V5-4,0))</f>
        <v>Fuchu</v>
      </c>
      <c r="J5" s="218" t="str">
        <f ca="1">IF(ISERROR($V5),"",OFFSET('Smelter Look-up'!$I$4,$V5-4,0))</f>
        <v>Tokyo</v>
      </c>
      <c r="K5" s="267"/>
      <c r="L5" s="267"/>
      <c r="M5" s="267"/>
      <c r="N5" s="267"/>
      <c r="O5" s="267"/>
      <c r="P5" s="219"/>
      <c r="Q5" s="268"/>
      <c r="R5" s="216" t="str">
        <f ca="1">IF(ISERROR($V5),"",OFFSET('Smelter Look-up'!$C$4,$V5-4,0)&amp;"")</f>
        <v>Aida Chemical Industries Co., Ltd.</v>
      </c>
      <c r="S5" s="224" t="str">
        <f t="shared" ref="S5:S68" ca="1" si="0">IF(B5="","",IF(ISERROR(MATCH($E5,CL,0)),"Unknown",INDIRECT("'C'!$A$"&amp;MATCH($E5,CL,0)+1)))</f>
        <v>JP</v>
      </c>
      <c r="T5" s="224" t="str">
        <f ca="1">IF(B5="","",IF(ISERROR(MATCH($J5,SorP!$B$1:$B$6230,0)),"",INDIRECT("'SorP'!$A$"&amp;MATCH($J5,SorP!$B$1:$B$6230,0))))</f>
        <v>JP-13</v>
      </c>
      <c r="U5" s="239"/>
      <c r="V5" s="269">
        <f ca="1">IF(C5="",NA(),MATCH($B5&amp;$C5,'Smelter Look-up'!$J:$J,0))</f>
        <v>11</v>
      </c>
      <c r="W5" s="270"/>
      <c r="X5" s="270">
        <f t="shared" ref="X5:X68" ca="1" si="1">IF(AND(C5="Smelter not listed",OR(LEN(D5)=0,LEN(E5)=0)),1,0)</f>
        <v>0</v>
      </c>
      <c r="Y5" s="270"/>
      <c r="Z5" s="270"/>
      <c r="AB5" s="272" t="str">
        <f t="shared" ref="AB5:AB68" ca="1" si="2">B5&amp;C5</f>
        <v>GoldAida Chemical Industries Co., Ltd.</v>
      </c>
    </row>
    <row r="6" spans="1:34" s="271" customFormat="1" ht="20.100000000000001" customHeight="1">
      <c r="A6" s="215" t="s">
        <v>745</v>
      </c>
      <c r="B6" s="216" t="str">
        <f ca="1">IF(LEN(A6)=0,"",INDEX('Smelter Look-up'!$A:$A,MATCH($A6,'Smelter Look-up'!$E:$E,0)))</f>
        <v>Gold</v>
      </c>
      <c r="C6" s="220" t="str">
        <f ca="1">IF(LEN(A6)=0,"",INDEX('Smelter Look-up'!$C:$C,MATCH($A6,'Smelter Look-up'!$E:$E,0)))</f>
        <v>Argor-Heraeus S.A.</v>
      </c>
      <c r="D6" s="216"/>
      <c r="E6" s="216" t="str">
        <f ca="1">IF(ISERROR($V6),"",OFFSET('Smelter Look-up'!$D$4,$V6-4,0)&amp;"")</f>
        <v>SWITZERLAND</v>
      </c>
      <c r="F6" s="216" t="str">
        <f ca="1">IF(ISERROR($V6),"",OFFSET('Smelter Look-up'!$E$4,$V6-4,0))</f>
        <v>CID000077</v>
      </c>
      <c r="G6" s="216" t="str">
        <f ca="1">IF(C6=$X$4,"Enter smelter details", IF(ISERROR($V6),"",OFFSET('Smelter Look-up'!$F$4,$V6-4,0)))</f>
        <v>RMI</v>
      </c>
      <c r="H6" s="217">
        <f ca="1">IF(ISERROR($V6),"",OFFSET('Smelter Look-up'!$G$4,$V6-4,0))</f>
        <v>0</v>
      </c>
      <c r="I6" s="218" t="str">
        <f ca="1">IF(ISERROR($V6),"",OFFSET('Smelter Look-up'!$H$4,$V6-4,0))</f>
        <v>Mendrisio</v>
      </c>
      <c r="J6" s="218" t="str">
        <f ca="1">IF(ISERROR($V6),"",OFFSET('Smelter Look-up'!$I$4,$V6-4,0))</f>
        <v>Ticino</v>
      </c>
      <c r="K6" s="267"/>
      <c r="L6" s="267"/>
      <c r="M6" s="267"/>
      <c r="N6" s="267"/>
      <c r="O6" s="267"/>
      <c r="P6" s="219"/>
      <c r="Q6" s="268"/>
      <c r="R6" s="216" t="str">
        <f ca="1">IF(ISERROR($V6),"",OFFSET('Smelter Look-up'!$C$4,$V6-4,0)&amp;"")</f>
        <v>Argor-Heraeus S.A.</v>
      </c>
      <c r="S6" s="224" t="str">
        <f t="shared" ca="1" si="0"/>
        <v>CH</v>
      </c>
      <c r="T6" s="224" t="str">
        <f ca="1">IF(B6="","",IF(ISERROR(MATCH($J6,SorP!$B$1:$B$6230,0)),"",INDIRECT("'SorP'!$A$"&amp;MATCH($J6,SorP!$B$1:$B$6230,0))))</f>
        <v>CH-TI</v>
      </c>
      <c r="U6" s="239"/>
      <c r="V6" s="269">
        <f ca="1">IF(C6="",NA(),MATCH($B6&amp;$C6,'Smelter Look-up'!$J:$J,0))</f>
        <v>23</v>
      </c>
      <c r="W6" s="270"/>
      <c r="X6" s="270">
        <f t="shared" ca="1" si="1"/>
        <v>0</v>
      </c>
      <c r="Y6" s="270"/>
      <c r="Z6" s="270"/>
      <c r="AB6" s="272" t="str">
        <f t="shared" ca="1" si="2"/>
        <v>GoldArgor-Heraeus S.A.</v>
      </c>
    </row>
    <row r="7" spans="1:34" s="271" customFormat="1" ht="20.100000000000001" customHeight="1">
      <c r="A7" s="215" t="s">
        <v>746</v>
      </c>
      <c r="B7" s="216" t="str">
        <f ca="1">IF(LEN(A7)=0,"",INDEX('Smelter Look-up'!$A:$A,MATCH($A7,'Smelter Look-up'!$E:$E,0)))</f>
        <v>Gold</v>
      </c>
      <c r="C7" s="220" t="str">
        <f ca="1">IF(LEN(A7)=0,"",INDEX('Smelter Look-up'!$C:$C,MATCH($A7,'Smelter Look-up'!$E:$E,0)))</f>
        <v>Asahi Pretec Corp.</v>
      </c>
      <c r="D7" s="216"/>
      <c r="E7" s="216" t="str">
        <f ca="1">IF(ISERROR($V7),"",OFFSET('Smelter Look-up'!$D$4,$V7-4,0)&amp;"")</f>
        <v>JAPAN</v>
      </c>
      <c r="F7" s="216" t="str">
        <f ca="1">IF(ISERROR($V7),"",OFFSET('Smelter Look-up'!$E$4,$V7-4,0))</f>
        <v>CID000082</v>
      </c>
      <c r="G7" s="216" t="str">
        <f ca="1">IF(C7=$X$4,"Enter smelter details", IF(ISERROR($V7),"",OFFSET('Smelter Look-up'!$F$4,$V7-4,0)))</f>
        <v>RMI</v>
      </c>
      <c r="H7" s="217">
        <f ca="1">IF(ISERROR($V7),"",OFFSET('Smelter Look-up'!$G$4,$V7-4,0))</f>
        <v>0</v>
      </c>
      <c r="I7" s="218" t="str">
        <f ca="1">IF(ISERROR($V7),"",OFFSET('Smelter Look-up'!$H$4,$V7-4,0))</f>
        <v>Kobe</v>
      </c>
      <c r="J7" s="218" t="str">
        <f ca="1">IF(ISERROR($V7),"",OFFSET('Smelter Look-up'!$I$4,$V7-4,0))</f>
        <v>Hyogo</v>
      </c>
      <c r="K7" s="267"/>
      <c r="L7" s="267"/>
      <c r="M7" s="267"/>
      <c r="N7" s="267"/>
      <c r="O7" s="267"/>
      <c r="P7" s="219"/>
      <c r="Q7" s="268"/>
      <c r="R7" s="216" t="str">
        <f ca="1">IF(ISERROR($V7),"",OFFSET('Smelter Look-up'!$C$4,$V7-4,0)&amp;"")</f>
        <v>Asahi Pretec Corp.</v>
      </c>
      <c r="S7" s="224" t="str">
        <f t="shared" ca="1" si="0"/>
        <v>JP</v>
      </c>
      <c r="T7" s="224" t="str">
        <f ca="1">IF(B7="","",IF(ISERROR(MATCH($J7,SorP!$B$1:$B$6230,0)),"",INDIRECT("'SorP'!$A$"&amp;MATCH($J7,SorP!$B$1:$B$6230,0))))</f>
        <v>JP-28</v>
      </c>
      <c r="U7" s="239"/>
      <c r="V7" s="269">
        <f ca="1">IF(C7="",NA(),MATCH($B7&amp;$C7,'Smelter Look-up'!$J:$J,0))</f>
        <v>24</v>
      </c>
      <c r="W7" s="270"/>
      <c r="X7" s="270">
        <f t="shared" ca="1" si="1"/>
        <v>0</v>
      </c>
      <c r="Y7" s="270"/>
      <c r="Z7" s="270"/>
      <c r="AB7" s="272" t="str">
        <f t="shared" ca="1" si="2"/>
        <v>GoldAsahi Pretec Corp.</v>
      </c>
    </row>
    <row r="8" spans="1:34" s="271" customFormat="1" ht="20.100000000000001" customHeight="1">
      <c r="A8" s="215" t="s">
        <v>747</v>
      </c>
      <c r="B8" s="216" t="str">
        <f ca="1">IF(LEN(A8)=0,"",INDEX('Smelter Look-up'!$A:$A,MATCH($A8,'Smelter Look-up'!$E:$E,0)))</f>
        <v>Gold</v>
      </c>
      <c r="C8" s="220" t="str">
        <f ca="1">IF(LEN(A8)=0,"",INDEX('Smelter Look-up'!$C:$C,MATCH($A8,'Smelter Look-up'!$E:$E,0)))</f>
        <v>Asaka Riken Co., Ltd.</v>
      </c>
      <c r="D8" s="216"/>
      <c r="E8" s="216" t="str">
        <f ca="1">IF(ISERROR($V8),"",OFFSET('Smelter Look-up'!$D$4,$V8-4,0)&amp;"")</f>
        <v>JAPAN</v>
      </c>
      <c r="F8" s="216" t="str">
        <f ca="1">IF(ISERROR($V8),"",OFFSET('Smelter Look-up'!$E$4,$V8-4,0))</f>
        <v>CID000090</v>
      </c>
      <c r="G8" s="216" t="str">
        <f ca="1">IF(C8=$X$4,"Enter smelter details", IF(ISERROR($V8),"",OFFSET('Smelter Look-up'!$F$4,$V8-4,0)))</f>
        <v>RMI</v>
      </c>
      <c r="H8" s="217">
        <f ca="1">IF(ISERROR($V8),"",OFFSET('Smelter Look-up'!$G$4,$V8-4,0))</f>
        <v>0</v>
      </c>
      <c r="I8" s="218" t="str">
        <f ca="1">IF(ISERROR($V8),"",OFFSET('Smelter Look-up'!$H$4,$V8-4,0))</f>
        <v>Tamura</v>
      </c>
      <c r="J8" s="218" t="str">
        <f ca="1">IF(ISERROR($V8),"",OFFSET('Smelter Look-up'!$I$4,$V8-4,0))</f>
        <v>Fukushima</v>
      </c>
      <c r="K8" s="267"/>
      <c r="L8" s="267"/>
      <c r="M8" s="267"/>
      <c r="N8" s="267"/>
      <c r="O8" s="267"/>
      <c r="P8" s="219"/>
      <c r="Q8" s="268"/>
      <c r="R8" s="216" t="str">
        <f ca="1">IF(ISERROR($V8),"",OFFSET('Smelter Look-up'!$C$4,$V8-4,0)&amp;"")</f>
        <v>Asaka Riken Co., Ltd.</v>
      </c>
      <c r="S8" s="224" t="str">
        <f t="shared" ca="1" si="0"/>
        <v>JP</v>
      </c>
      <c r="T8" s="224" t="str">
        <f ca="1">IF(B8="","",IF(ISERROR(MATCH($J8,SorP!$B$1:$B$6230,0)),"",INDIRECT("'SorP'!$A$"&amp;MATCH($J8,SorP!$B$1:$B$6230,0))))</f>
        <v>JP-07</v>
      </c>
      <c r="U8" s="239"/>
      <c r="V8" s="269">
        <f ca="1">IF(C8="",NA(),MATCH($B8&amp;$C8,'Smelter Look-up'!$J:$J,0))</f>
        <v>27</v>
      </c>
      <c r="W8" s="270"/>
      <c r="X8" s="270">
        <f t="shared" ca="1" si="1"/>
        <v>0</v>
      </c>
      <c r="Y8" s="270"/>
      <c r="Z8" s="270"/>
      <c r="AB8" s="272" t="str">
        <f t="shared" ca="1" si="2"/>
        <v>GoldAsaka Riken Co., Ltd.</v>
      </c>
    </row>
    <row r="9" spans="1:34" s="271" customFormat="1" ht="20.100000000000001" customHeight="1">
      <c r="A9" s="215" t="s">
        <v>756</v>
      </c>
      <c r="B9" s="216" t="str">
        <f ca="1">IF(LEN(A9)=0,"",INDEX('Smelter Look-up'!$A:$A,MATCH($A9,'Smelter Look-up'!$E:$E,0)))</f>
        <v>Gold</v>
      </c>
      <c r="C9" s="220" t="str">
        <f ca="1">IF(LEN(A9)=0,"",INDEX('Smelter Look-up'!$C:$C,MATCH($A9,'Smelter Look-up'!$E:$E,0)))</f>
        <v>Cendres + Metaux S.A.</v>
      </c>
      <c r="D9" s="216"/>
      <c r="E9" s="216" t="str">
        <f ca="1">IF(ISERROR($V9),"",OFFSET('Smelter Look-up'!$D$4,$V9-4,0)&amp;"")</f>
        <v>SWITZERLAND</v>
      </c>
      <c r="F9" s="216" t="str">
        <f ca="1">IF(ISERROR($V9),"",OFFSET('Smelter Look-up'!$E$4,$V9-4,0))</f>
        <v>CID000189</v>
      </c>
      <c r="G9" s="216" t="str">
        <f ca="1">IF(C9=$X$4,"Enter smelter details", IF(ISERROR($V9),"",OFFSET('Smelter Look-up'!$F$4,$V9-4,0)))</f>
        <v>RMI</v>
      </c>
      <c r="H9" s="217">
        <f ca="1">IF(ISERROR($V9),"",OFFSET('Smelter Look-up'!$G$4,$V9-4,0))</f>
        <v>0</v>
      </c>
      <c r="I9" s="218" t="str">
        <f ca="1">IF(ISERROR($V9),"",OFFSET('Smelter Look-up'!$H$4,$V9-4,0))</f>
        <v>Biel-Bienne</v>
      </c>
      <c r="J9" s="218" t="str">
        <f ca="1">IF(ISERROR($V9),"",OFFSET('Smelter Look-up'!$I$4,$V9-4,0))</f>
        <v>Bern</v>
      </c>
      <c r="K9" s="267"/>
      <c r="L9" s="267"/>
      <c r="M9" s="267"/>
      <c r="N9" s="267"/>
      <c r="O9" s="267"/>
      <c r="P9" s="219"/>
      <c r="Q9" s="268"/>
      <c r="R9" s="216" t="str">
        <f ca="1">IF(ISERROR($V9),"",OFFSET('Smelter Look-up'!$C$4,$V9-4,0)&amp;"")</f>
        <v>Cendres + Metaux S.A.</v>
      </c>
      <c r="S9" s="224" t="str">
        <f t="shared" ca="1" si="0"/>
        <v>CH</v>
      </c>
      <c r="T9" s="224" t="str">
        <f ca="1">IF(B9="","",IF(ISERROR(MATCH($J9,SorP!$B$1:$B$6230,0)),"",INDIRECT("'SorP'!$A$"&amp;MATCH($J9,SorP!$B$1:$B$6230,0))))</f>
        <v>CH-BE</v>
      </c>
      <c r="U9" s="239"/>
      <c r="V9" s="269">
        <f ca="1">IF(C9="",NA(),MATCH($B9&amp;$C9,'Smelter Look-up'!$J:$J,0))</f>
        <v>42</v>
      </c>
      <c r="W9" s="270"/>
      <c r="X9" s="270">
        <f t="shared" ca="1" si="1"/>
        <v>0</v>
      </c>
      <c r="Y9" s="270"/>
      <c r="Z9" s="270"/>
      <c r="AB9" s="272" t="str">
        <f t="shared" ca="1" si="2"/>
        <v>GoldCendres + Metaux S.A.</v>
      </c>
    </row>
    <row r="10" spans="1:34" s="271" customFormat="1" ht="20.100000000000001" customHeight="1">
      <c r="A10" s="215" t="s">
        <v>765</v>
      </c>
      <c r="B10" s="216" t="str">
        <f ca="1">IF(LEN(A10)=0,"",INDEX('Smelter Look-up'!$A:$A,MATCH($A10,'Smelter Look-up'!$E:$E,0)))</f>
        <v>Gold</v>
      </c>
      <c r="C10" s="220" t="str">
        <f ca="1">IF(LEN(A10)=0,"",INDEX('Smelter Look-up'!$C:$C,MATCH($A10,'Smelter Look-up'!$E:$E,0)))</f>
        <v>Dowa</v>
      </c>
      <c r="D10" s="216"/>
      <c r="E10" s="216" t="str">
        <f ca="1">IF(ISERROR($V10),"",OFFSET('Smelter Look-up'!$D$4,$V10-4,0)&amp;"")</f>
        <v>JAPAN</v>
      </c>
      <c r="F10" s="216" t="str">
        <f ca="1">IF(ISERROR($V10),"",OFFSET('Smelter Look-up'!$E$4,$V10-4,0))</f>
        <v>CID000401</v>
      </c>
      <c r="G10" s="216" t="str">
        <f ca="1">IF(C10=$X$4,"Enter smelter details", IF(ISERROR($V10),"",OFFSET('Smelter Look-up'!$F$4,$V10-4,0)))</f>
        <v>RMI</v>
      </c>
      <c r="H10" s="217">
        <f ca="1">IF(ISERROR($V10),"",OFFSET('Smelter Look-up'!$G$4,$V10-4,0))</f>
        <v>0</v>
      </c>
      <c r="I10" s="218" t="str">
        <f ca="1">IF(ISERROR($V10),"",OFFSET('Smelter Look-up'!$H$4,$V10-4,0))</f>
        <v>Kosaka</v>
      </c>
      <c r="J10" s="218" t="str">
        <f ca="1">IF(ISERROR($V10),"",OFFSET('Smelter Look-up'!$I$4,$V10-4,0))</f>
        <v>Akita</v>
      </c>
      <c r="K10" s="267"/>
      <c r="L10" s="267"/>
      <c r="M10" s="267"/>
      <c r="N10" s="267"/>
      <c r="O10" s="267"/>
      <c r="P10" s="219"/>
      <c r="Q10" s="268"/>
      <c r="R10" s="216" t="str">
        <f ca="1">IF(ISERROR($V10),"",OFFSET('Smelter Look-up'!$C$4,$V10-4,0)&amp;"")</f>
        <v>Dowa</v>
      </c>
      <c r="S10" s="224" t="str">
        <f t="shared" ca="1" si="0"/>
        <v>JP</v>
      </c>
      <c r="T10" s="224" t="str">
        <f ca="1">IF(B10="","",IF(ISERROR(MATCH($J10,SorP!$B$1:$B$6230,0)),"",INDIRECT("'SorP'!$A$"&amp;MATCH($J10,SorP!$B$1:$B$6230,0))))</f>
        <v>JP-05</v>
      </c>
      <c r="U10" s="239"/>
      <c r="V10" s="269">
        <f ca="1">IF(C10="",NA(),MATCH($B10&amp;$C10,'Smelter Look-up'!$J:$J,0))</f>
        <v>61</v>
      </c>
      <c r="W10" s="270"/>
      <c r="X10" s="270">
        <f t="shared" ca="1" si="1"/>
        <v>0</v>
      </c>
      <c r="Y10" s="270"/>
      <c r="Z10" s="270"/>
      <c r="AB10" s="272" t="str">
        <f t="shared" ca="1" si="2"/>
        <v>GoldDowa</v>
      </c>
    </row>
    <row r="11" spans="1:34" s="271" customFormat="1" ht="20.100000000000001" customHeight="1">
      <c r="A11" s="215" t="s">
        <v>771</v>
      </c>
      <c r="B11" s="216" t="str">
        <f ca="1">IF(LEN(A11)=0,"",INDEX('Smelter Look-up'!$A:$A,MATCH($A11,'Smelter Look-up'!$E:$E,0)))</f>
        <v>Gold</v>
      </c>
      <c r="C11" s="220" t="str">
        <f ca="1">IF(LEN(A11)=0,"",INDEX('Smelter Look-up'!$C:$C,MATCH($A11,'Smelter Look-up'!$E:$E,0)))</f>
        <v>Heraeus Metals Hong Kong Ltd.</v>
      </c>
      <c r="D11" s="216"/>
      <c r="E11" s="216" t="str">
        <f ca="1">IF(ISERROR($V11),"",OFFSET('Smelter Look-up'!$D$4,$V11-4,0)&amp;"")</f>
        <v>CHINA</v>
      </c>
      <c r="F11" s="216" t="str">
        <f ca="1">IF(ISERROR($V11),"",OFFSET('Smelter Look-up'!$E$4,$V11-4,0))</f>
        <v>CID000707</v>
      </c>
      <c r="G11" s="216" t="str">
        <f ca="1">IF(C11=$X$4,"Enter smelter details", IF(ISERROR($V11),"",OFFSET('Smelter Look-up'!$F$4,$V11-4,0)))</f>
        <v>RMI</v>
      </c>
      <c r="H11" s="217">
        <f ca="1">IF(ISERROR($V11),"",OFFSET('Smelter Look-up'!$G$4,$V11-4,0))</f>
        <v>0</v>
      </c>
      <c r="I11" s="218" t="str">
        <f ca="1">IF(ISERROR($V11),"",OFFSET('Smelter Look-up'!$H$4,$V11-4,0))</f>
        <v>Fanling</v>
      </c>
      <c r="J11" s="218" t="str">
        <f ca="1">IF(ISERROR($V11),"",OFFSET('Smelter Look-up'!$I$4,$V11-4,0))</f>
        <v>Hong Kong SAR</v>
      </c>
      <c r="K11" s="267"/>
      <c r="L11" s="267"/>
      <c r="M11" s="267"/>
      <c r="N11" s="267"/>
      <c r="O11" s="267"/>
      <c r="P11" s="219"/>
      <c r="Q11" s="268"/>
      <c r="R11" s="216" t="str">
        <f ca="1">IF(ISERROR($V11),"",OFFSET('Smelter Look-up'!$C$4,$V11-4,0)&amp;"")</f>
        <v>Heraeus Metals Hong Kong Ltd.</v>
      </c>
      <c r="S11" s="224" t="str">
        <f t="shared" ca="1" si="0"/>
        <v>CN</v>
      </c>
      <c r="T11" s="224" t="str">
        <f ca="1">IF(B11="","",IF(ISERROR(MATCH($J11,SorP!$B$1:$B$6230,0)),"",INDIRECT("'SorP'!$A$"&amp;MATCH($J11,SorP!$B$1:$B$6230,0))))</f>
        <v>CN-HK</v>
      </c>
      <c r="U11" s="239"/>
      <c r="V11" s="269">
        <f ca="1">IF(C11="",NA(),MATCH($B11&amp;$C11,'Smelter Look-up'!$J:$J,0))</f>
        <v>91</v>
      </c>
      <c r="W11" s="270"/>
      <c r="X11" s="270">
        <f t="shared" ca="1" si="1"/>
        <v>0</v>
      </c>
      <c r="Y11" s="270"/>
      <c r="Z11" s="270"/>
      <c r="AB11" s="272" t="str">
        <f t="shared" ca="1" si="2"/>
        <v>GoldHeraeus Metals Hong Kong Ltd.</v>
      </c>
    </row>
    <row r="12" spans="1:34" s="271" customFormat="1" ht="76.5">
      <c r="A12" s="215" t="s">
        <v>772</v>
      </c>
      <c r="B12" s="216" t="str">
        <f ca="1">IF(LEN(A12)=0,"",INDEX('Smelter Look-up'!$A:$A,MATCH($A12,'Smelter Look-up'!$E:$E,0)))</f>
        <v>Gold</v>
      </c>
      <c r="C12" s="220" t="str">
        <f ca="1">IF(LEN(A12)=0,"",INDEX('Smelter Look-up'!$C:$C,MATCH($A12,'Smelter Look-up'!$E:$E,0)))</f>
        <v>Heraeus Precious Metals GmbH &amp; Co. KG</v>
      </c>
      <c r="D12" s="216"/>
      <c r="E12" s="216" t="str">
        <f ca="1">IF(ISERROR($V12),"",OFFSET('Smelter Look-up'!$D$4,$V12-4,0)&amp;"")</f>
        <v>GERMANY</v>
      </c>
      <c r="F12" s="216" t="str">
        <f ca="1">IF(ISERROR($V12),"",OFFSET('Smelter Look-up'!$E$4,$V12-4,0))</f>
        <v>CID000711</v>
      </c>
      <c r="G12" s="216" t="str">
        <f ca="1">IF(C12=$X$4,"Enter smelter details", IF(ISERROR($V12),"",OFFSET('Smelter Look-up'!$F$4,$V12-4,0)))</f>
        <v>RMI</v>
      </c>
      <c r="H12" s="217">
        <f ca="1">IF(ISERROR($V12),"",OFFSET('Smelter Look-up'!$G$4,$V12-4,0))</f>
        <v>0</v>
      </c>
      <c r="I12" s="218" t="str">
        <f ca="1">IF(ISERROR($V12),"",OFFSET('Smelter Look-up'!$H$4,$V12-4,0))</f>
        <v>Hanau</v>
      </c>
      <c r="J12" s="218" t="str">
        <f ca="1">IF(ISERROR($V12),"",OFFSET('Smelter Look-up'!$I$4,$V12-4,0))</f>
        <v>Hessen</v>
      </c>
      <c r="K12" s="267"/>
      <c r="L12" s="267"/>
      <c r="M12" s="267"/>
      <c r="N12" s="267"/>
      <c r="O12" s="267"/>
      <c r="P12" s="219"/>
      <c r="Q12" s="268"/>
      <c r="R12" s="216" t="str">
        <f ca="1">IF(ISERROR($V12),"",OFFSET('Smelter Look-up'!$C$4,$V12-4,0)&amp;"")</f>
        <v>Heraeus Precious Metals GmbH &amp; Co. KG</v>
      </c>
      <c r="S12" s="224" t="str">
        <f t="shared" ca="1" si="0"/>
        <v>DE</v>
      </c>
      <c r="T12" s="224" t="str">
        <f ca="1">IF(B12="","",IF(ISERROR(MATCH($J12,SorP!$B$1:$B$6230,0)),"",INDIRECT("'SorP'!$A$"&amp;MATCH($J12,SorP!$B$1:$B$6230,0))))</f>
        <v>DE-HE</v>
      </c>
      <c r="U12" s="239"/>
      <c r="V12" s="269">
        <f ca="1">IF(C12="",NA(),MATCH($B12&amp;$C12,'Smelter Look-up'!$J:$J,0))</f>
        <v>92</v>
      </c>
      <c r="W12" s="270"/>
      <c r="X12" s="270">
        <f t="shared" ca="1" si="1"/>
        <v>0</v>
      </c>
      <c r="Y12" s="270"/>
      <c r="Z12" s="270"/>
      <c r="AB12" s="272" t="str">
        <f t="shared" ca="1" si="2"/>
        <v>GoldHeraeus Precious Metals GmbH &amp; Co. KG</v>
      </c>
    </row>
    <row r="13" spans="1:34" s="271" customFormat="1" ht="76.5">
      <c r="A13" s="215" t="s">
        <v>776</v>
      </c>
      <c r="B13" s="216" t="str">
        <f ca="1">IF(LEN(A13)=0,"",INDEX('Smelter Look-up'!$A:$A,MATCH($A13,'Smelter Look-up'!$E:$E,0)))</f>
        <v>Gold</v>
      </c>
      <c r="C13" s="220" t="str">
        <f ca="1">IF(LEN(A13)=0,"",INDEX('Smelter Look-up'!$C:$C,MATCH($A13,'Smelter Look-up'!$E:$E,0)))</f>
        <v>Ishifuku Metal Industry Co., Ltd.</v>
      </c>
      <c r="D13" s="216"/>
      <c r="E13" s="216" t="str">
        <f ca="1">IF(ISERROR($V13),"",OFFSET('Smelter Look-up'!$D$4,$V13-4,0)&amp;"")</f>
        <v>JAPAN</v>
      </c>
      <c r="F13" s="216" t="str">
        <f ca="1">IF(ISERROR($V13),"",OFFSET('Smelter Look-up'!$E$4,$V13-4,0))</f>
        <v>CID000807</v>
      </c>
      <c r="G13" s="216" t="str">
        <f ca="1">IF(C13=$X$4,"Enter smelter details", IF(ISERROR($V13),"",OFFSET('Smelter Look-up'!$F$4,$V13-4,0)))</f>
        <v>RMI</v>
      </c>
      <c r="H13" s="217">
        <f ca="1">IF(ISERROR($V13),"",OFFSET('Smelter Look-up'!$G$4,$V13-4,0))</f>
        <v>0</v>
      </c>
      <c r="I13" s="218" t="str">
        <f ca="1">IF(ISERROR($V13),"",OFFSET('Smelter Look-up'!$H$4,$V13-4,0))</f>
        <v>Soka</v>
      </c>
      <c r="J13" s="218" t="str">
        <f ca="1">IF(ISERROR($V13),"",OFFSET('Smelter Look-up'!$I$4,$V13-4,0))</f>
        <v>Saitama</v>
      </c>
      <c r="K13" s="267"/>
      <c r="L13" s="267"/>
      <c r="M13" s="267"/>
      <c r="N13" s="267"/>
      <c r="O13" s="267"/>
      <c r="P13" s="219"/>
      <c r="Q13" s="268"/>
      <c r="R13" s="216" t="str">
        <f ca="1">IF(ISERROR($V13),"",OFFSET('Smelter Look-up'!$C$4,$V13-4,0)&amp;"")</f>
        <v>Ishifuku Metal Industry Co., Ltd.</v>
      </c>
      <c r="S13" s="224" t="str">
        <f t="shared" ca="1" si="0"/>
        <v>JP</v>
      </c>
      <c r="T13" s="224" t="str">
        <f ca="1">IF(B13="","",IF(ISERROR(MATCH($J13,SorP!$B$1:$B$6230,0)),"",INDIRECT("'SorP'!$A$"&amp;MATCH($J13,SorP!$B$1:$B$6230,0))))</f>
        <v>JP-11</v>
      </c>
      <c r="U13" s="239"/>
      <c r="V13" s="269">
        <f ca="1">IF(C13="",NA(),MATCH($B13&amp;$C13,'Smelter Look-up'!$J:$J,0))</f>
        <v>101</v>
      </c>
      <c r="W13" s="270"/>
      <c r="X13" s="270">
        <f t="shared" ca="1" si="1"/>
        <v>0</v>
      </c>
      <c r="Y13" s="270"/>
      <c r="Z13" s="270"/>
      <c r="AB13" s="272" t="str">
        <f t="shared" ca="1" si="2"/>
        <v>GoldIshifuku Metal Industry Co., Ltd.</v>
      </c>
    </row>
    <row r="14" spans="1:34" s="271" customFormat="1" ht="76.5">
      <c r="A14" s="215" t="s">
        <v>784</v>
      </c>
      <c r="B14" s="216" t="str">
        <f ca="1">IF(LEN(A14)=0,"",INDEX('Smelter Look-up'!$A:$A,MATCH($A14,'Smelter Look-up'!$E:$E,0)))</f>
        <v>Gold</v>
      </c>
      <c r="C14" s="220" t="str">
        <f ca="1">IF(LEN(A14)=0,"",INDEX('Smelter Look-up'!$C:$C,MATCH($A14,'Smelter Look-up'!$E:$E,0)))</f>
        <v>JX Nippon Mining &amp; Metals Co., Ltd.</v>
      </c>
      <c r="D14" s="216"/>
      <c r="E14" s="216" t="str">
        <f ca="1">IF(ISERROR($V14),"",OFFSET('Smelter Look-up'!$D$4,$V14-4,0)&amp;"")</f>
        <v>JAPAN</v>
      </c>
      <c r="F14" s="216" t="str">
        <f ca="1">IF(ISERROR($V14),"",OFFSET('Smelter Look-up'!$E$4,$V14-4,0))</f>
        <v>CID000937</v>
      </c>
      <c r="G14" s="216" t="str">
        <f ca="1">IF(C14=$X$4,"Enter smelter details", IF(ISERROR($V14),"",OFFSET('Smelter Look-up'!$F$4,$V14-4,0)))</f>
        <v>RMI</v>
      </c>
      <c r="H14" s="217">
        <f ca="1">IF(ISERROR($V14),"",OFFSET('Smelter Look-up'!$G$4,$V14-4,0))</f>
        <v>0</v>
      </c>
      <c r="I14" s="218" t="str">
        <f ca="1">IF(ISERROR($V14),"",OFFSET('Smelter Look-up'!$H$4,$V14-4,0))</f>
        <v>Ōita</v>
      </c>
      <c r="J14" s="218" t="str">
        <f ca="1">IF(ISERROR($V14),"",OFFSET('Smelter Look-up'!$I$4,$V14-4,0))</f>
        <v>Ôita</v>
      </c>
      <c r="K14" s="267"/>
      <c r="L14" s="267"/>
      <c r="M14" s="267"/>
      <c r="N14" s="267"/>
      <c r="O14" s="267"/>
      <c r="P14" s="219"/>
      <c r="Q14" s="268"/>
      <c r="R14" s="216" t="str">
        <f ca="1">IF(ISERROR($V14),"",OFFSET('Smelter Look-up'!$C$4,$V14-4,0)&amp;"")</f>
        <v>JX Nippon Mining &amp; Metals Co., Ltd.</v>
      </c>
      <c r="S14" s="224" t="str">
        <f t="shared" ca="1" si="0"/>
        <v>JP</v>
      </c>
      <c r="T14" s="224" t="str">
        <f ca="1">IF(B14="","",IF(ISERROR(MATCH($J14,SorP!$B$1:$B$6230,0)),"",INDIRECT("'SorP'!$A$"&amp;MATCH($J14,SorP!$B$1:$B$6230,0))))</f>
        <v>JP-44</v>
      </c>
      <c r="U14" s="239"/>
      <c r="V14" s="269">
        <f ca="1">IF(C14="",NA(),MATCH($B14&amp;$C14,'Smelter Look-up'!$J:$J,0))</f>
        <v>113</v>
      </c>
      <c r="W14" s="270"/>
      <c r="X14" s="270">
        <f t="shared" ca="1" si="1"/>
        <v>0</v>
      </c>
      <c r="Y14" s="270"/>
      <c r="Z14" s="270"/>
      <c r="AB14" s="272" t="str">
        <f t="shared" ca="1" si="2"/>
        <v>GoldJX Nippon Mining &amp; Metals Co., Ltd.</v>
      </c>
    </row>
    <row r="15" spans="1:34" s="271" customFormat="1" ht="63.75">
      <c r="A15" s="215" t="s">
        <v>788</v>
      </c>
      <c r="B15" s="216" t="str">
        <f ca="1">IF(LEN(A15)=0,"",INDEX('Smelter Look-up'!$A:$A,MATCH($A15,'Smelter Look-up'!$E:$E,0)))</f>
        <v>Gold</v>
      </c>
      <c r="C15" s="220" t="str">
        <f ca="1">IF(LEN(A15)=0,"",INDEX('Smelter Look-up'!$C:$C,MATCH($A15,'Smelter Look-up'!$E:$E,0)))</f>
        <v>Kojima Chemicals Co., Ltd.</v>
      </c>
      <c r="D15" s="216"/>
      <c r="E15" s="216" t="str">
        <f ca="1">IF(ISERROR($V15),"",OFFSET('Smelter Look-up'!$D$4,$V15-4,0)&amp;"")</f>
        <v>JAPAN</v>
      </c>
      <c r="F15" s="216" t="str">
        <f ca="1">IF(ISERROR($V15),"",OFFSET('Smelter Look-up'!$E$4,$V15-4,0))</f>
        <v>CID000981</v>
      </c>
      <c r="G15" s="216" t="str">
        <f ca="1">IF(C15=$X$4,"Enter smelter details", IF(ISERROR($V15),"",OFFSET('Smelter Look-up'!$F$4,$V15-4,0)))</f>
        <v>RMI</v>
      </c>
      <c r="H15" s="217">
        <f ca="1">IF(ISERROR($V15),"",OFFSET('Smelter Look-up'!$G$4,$V15-4,0))</f>
        <v>0</v>
      </c>
      <c r="I15" s="218" t="str">
        <f ca="1">IF(ISERROR($V15),"",OFFSET('Smelter Look-up'!$H$4,$V15-4,0))</f>
        <v>Sayama</v>
      </c>
      <c r="J15" s="218" t="str">
        <f ca="1">IF(ISERROR($V15),"",OFFSET('Smelter Look-up'!$I$4,$V15-4,0))</f>
        <v>Saitama</v>
      </c>
      <c r="K15" s="267"/>
      <c r="L15" s="267"/>
      <c r="M15" s="267"/>
      <c r="N15" s="267"/>
      <c r="O15" s="267"/>
      <c r="P15" s="219"/>
      <c r="Q15" s="268"/>
      <c r="R15" s="216" t="str">
        <f ca="1">IF(ISERROR($V15),"",OFFSET('Smelter Look-up'!$C$4,$V15-4,0)&amp;"")</f>
        <v>Kojima Chemicals Co., Ltd.</v>
      </c>
      <c r="S15" s="224" t="str">
        <f t="shared" ca="1" si="0"/>
        <v>JP</v>
      </c>
      <c r="T15" s="224" t="str">
        <f ca="1">IF(B15="","",IF(ISERROR(MATCH($J15,SorP!$B$1:$B$6230,0)),"",INDIRECT("'SorP'!$A$"&amp;MATCH($J15,SorP!$B$1:$B$6230,0))))</f>
        <v>JP-11</v>
      </c>
      <c r="U15" s="239"/>
      <c r="V15" s="269">
        <f ca="1">IF(C15="",NA(),MATCH($B15&amp;$C15,'Smelter Look-up'!$J:$J,0))</f>
        <v>121</v>
      </c>
      <c r="W15" s="270"/>
      <c r="X15" s="270">
        <f t="shared" ca="1" si="1"/>
        <v>0</v>
      </c>
      <c r="Y15" s="270"/>
      <c r="Z15" s="270"/>
      <c r="AB15" s="272" t="str">
        <f t="shared" ca="1" si="2"/>
        <v>GoldKojima Chemicals Co., Ltd.</v>
      </c>
    </row>
    <row r="16" spans="1:34" s="271" customFormat="1" ht="63.75">
      <c r="A16" s="215" t="s">
        <v>796</v>
      </c>
      <c r="B16" s="216" t="str">
        <f ca="1">IF(LEN(A16)=0,"",INDEX('Smelter Look-up'!$A:$A,MATCH($A16,'Smelter Look-up'!$E:$E,0)))</f>
        <v>Gold</v>
      </c>
      <c r="C16" s="220" t="str">
        <f ca="1">IF(LEN(A16)=0,"",INDEX('Smelter Look-up'!$C:$C,MATCH($A16,'Smelter Look-up'!$E:$E,0)))</f>
        <v>Matsuda Sangyo Co., Ltd.</v>
      </c>
      <c r="D16" s="216"/>
      <c r="E16" s="216" t="str">
        <f ca="1">IF(ISERROR($V16),"",OFFSET('Smelter Look-up'!$D$4,$V16-4,0)&amp;"")</f>
        <v>JAPAN</v>
      </c>
      <c r="F16" s="216" t="str">
        <f ca="1">IF(ISERROR($V16),"",OFFSET('Smelter Look-up'!$E$4,$V16-4,0))</f>
        <v>CID001119</v>
      </c>
      <c r="G16" s="216" t="str">
        <f ca="1">IF(C16=$X$4,"Enter smelter details", IF(ISERROR($V16),"",OFFSET('Smelter Look-up'!$F$4,$V16-4,0)))</f>
        <v>RMI</v>
      </c>
      <c r="H16" s="217">
        <f ca="1">IF(ISERROR($V16),"",OFFSET('Smelter Look-up'!$G$4,$V16-4,0))</f>
        <v>0</v>
      </c>
      <c r="I16" s="218" t="str">
        <f ca="1">IF(ISERROR($V16),"",OFFSET('Smelter Look-up'!$H$4,$V16-4,0))</f>
        <v>Iruma</v>
      </c>
      <c r="J16" s="218" t="str">
        <f ca="1">IF(ISERROR($V16),"",OFFSET('Smelter Look-up'!$I$4,$V16-4,0))</f>
        <v>Saitama</v>
      </c>
      <c r="K16" s="267"/>
      <c r="L16" s="267"/>
      <c r="M16" s="267"/>
      <c r="N16" s="267"/>
      <c r="O16" s="267"/>
      <c r="P16" s="219"/>
      <c r="Q16" s="268"/>
      <c r="R16" s="216" t="str">
        <f ca="1">IF(ISERROR($V16),"",OFFSET('Smelter Look-up'!$C$4,$V16-4,0)&amp;"")</f>
        <v>Matsuda Sangyo Co., Ltd.</v>
      </c>
      <c r="S16" s="224" t="str">
        <f t="shared" ca="1" si="0"/>
        <v>JP</v>
      </c>
      <c r="T16" s="224" t="str">
        <f ca="1">IF(B16="","",IF(ISERROR(MATCH($J16,SorP!$B$1:$B$6230,0)),"",INDIRECT("'SorP'!$A$"&amp;MATCH($J16,SorP!$B$1:$B$6230,0))))</f>
        <v>JP-11</v>
      </c>
      <c r="U16" s="239"/>
      <c r="V16" s="269">
        <f ca="1">IF(C16="",NA(),MATCH($B16&amp;$C16,'Smelter Look-up'!$J:$J,0))</f>
        <v>141</v>
      </c>
      <c r="W16" s="270"/>
      <c r="X16" s="270">
        <f t="shared" ca="1" si="1"/>
        <v>0</v>
      </c>
      <c r="Y16" s="270"/>
      <c r="Z16" s="270"/>
      <c r="AB16" s="272" t="str">
        <f t="shared" ca="1" si="2"/>
        <v>GoldMatsuda Sangyo Co., Ltd.</v>
      </c>
    </row>
    <row r="17" spans="1:28" s="271" customFormat="1" ht="76.5">
      <c r="A17" s="215" t="s">
        <v>1858</v>
      </c>
      <c r="B17" s="216" t="str">
        <f ca="1">IF(LEN(A17)=0,"",INDEX('Smelter Look-up'!$A:$A,MATCH($A17,'Smelter Look-up'!$E:$E,0)))</f>
        <v>Gold</v>
      </c>
      <c r="C17" s="220" t="str">
        <f ca="1">IF(LEN(A17)=0,"",INDEX('Smelter Look-up'!$C:$C,MATCH($A17,'Smelter Look-up'!$E:$E,0)))</f>
        <v>Metalor Technologies (Suzhou) Ltd.</v>
      </c>
      <c r="D17" s="216"/>
      <c r="E17" s="216" t="str">
        <f ca="1">IF(ISERROR($V17),"",OFFSET('Smelter Look-up'!$D$4,$V17-4,0)&amp;"")</f>
        <v>CHINA</v>
      </c>
      <c r="F17" s="216" t="str">
        <f ca="1">IF(ISERROR($V17),"",OFFSET('Smelter Look-up'!$E$4,$V17-4,0))</f>
        <v>CID001147</v>
      </c>
      <c r="G17" s="216" t="str">
        <f ca="1">IF(C17=$X$4,"Enter smelter details", IF(ISERROR($V17),"",OFFSET('Smelter Look-up'!$F$4,$V17-4,0)))</f>
        <v>RMI</v>
      </c>
      <c r="H17" s="217">
        <f ca="1">IF(ISERROR($V17),"",OFFSET('Smelter Look-up'!$G$4,$V17-4,0))</f>
        <v>0</v>
      </c>
      <c r="I17" s="218" t="str">
        <f ca="1">IF(ISERROR($V17),"",OFFSET('Smelter Look-up'!$H$4,$V17-4,0))</f>
        <v>Suzhou</v>
      </c>
      <c r="J17" s="218" t="str">
        <f ca="1">IF(ISERROR($V17),"",OFFSET('Smelter Look-up'!$I$4,$V17-4,0))</f>
        <v>Jiangsu Sheng</v>
      </c>
      <c r="K17" s="267"/>
      <c r="L17" s="267"/>
      <c r="M17" s="267"/>
      <c r="N17" s="267"/>
      <c r="O17" s="267"/>
      <c r="P17" s="219"/>
      <c r="Q17" s="268"/>
      <c r="R17" s="216" t="str">
        <f ca="1">IF(ISERROR($V17),"",OFFSET('Smelter Look-up'!$C$4,$V17-4,0)&amp;"")</f>
        <v>Metalor Technologies (Suzhou) Ltd.</v>
      </c>
      <c r="S17" s="224" t="str">
        <f t="shared" ca="1" si="0"/>
        <v>CN</v>
      </c>
      <c r="T17" s="224" t="str">
        <f ca="1">IF(B17="","",IF(ISERROR(MATCH($J17,SorP!$B$1:$B$6230,0)),"",INDIRECT("'SorP'!$A$"&amp;MATCH($J17,SorP!$B$1:$B$6230,0))))</f>
        <v>CN-JS</v>
      </c>
      <c r="U17" s="239"/>
      <c r="V17" s="269">
        <f ca="1">IF(C17="",NA(),MATCH($B17&amp;$C17,'Smelter Look-up'!$J:$J,0))</f>
        <v>148</v>
      </c>
      <c r="W17" s="270"/>
      <c r="X17" s="270">
        <f t="shared" ca="1" si="1"/>
        <v>0</v>
      </c>
      <c r="Y17" s="270"/>
      <c r="Z17" s="270"/>
      <c r="AB17" s="272" t="str">
        <f t="shared" ca="1" si="2"/>
        <v>GoldMetalor Technologies (Suzhou) Ltd.</v>
      </c>
    </row>
    <row r="18" spans="1:28" s="271" customFormat="1" ht="89.25">
      <c r="A18" s="215" t="s">
        <v>797</v>
      </c>
      <c r="B18" s="216" t="str">
        <f ca="1">IF(LEN(A18)=0,"",INDEX('Smelter Look-up'!$A:$A,MATCH($A18,'Smelter Look-up'!$E:$E,0)))</f>
        <v>Gold</v>
      </c>
      <c r="C18" s="220" t="str">
        <f ca="1">IF(LEN(A18)=0,"",INDEX('Smelter Look-up'!$C:$C,MATCH($A18,'Smelter Look-up'!$E:$E,0)))</f>
        <v>Metalor Technologies (Hong Kong) Ltd.</v>
      </c>
      <c r="D18" s="216"/>
      <c r="E18" s="216" t="str">
        <f ca="1">IF(ISERROR($V18),"",OFFSET('Smelter Look-up'!$D$4,$V18-4,0)&amp;"")</f>
        <v>CHINA</v>
      </c>
      <c r="F18" s="216" t="str">
        <f ca="1">IF(ISERROR($V18),"",OFFSET('Smelter Look-up'!$E$4,$V18-4,0))</f>
        <v>CID001149</v>
      </c>
      <c r="G18" s="216" t="str">
        <f ca="1">IF(C18=$X$4,"Enter smelter details", IF(ISERROR($V18),"",OFFSET('Smelter Look-up'!$F$4,$V18-4,0)))</f>
        <v>RMI</v>
      </c>
      <c r="H18" s="217">
        <f ca="1">IF(ISERROR($V18),"",OFFSET('Smelter Look-up'!$G$4,$V18-4,0))</f>
        <v>0</v>
      </c>
      <c r="I18" s="218" t="str">
        <f ca="1">IF(ISERROR($V18),"",OFFSET('Smelter Look-up'!$H$4,$V18-4,0))</f>
        <v>Kwai Chung</v>
      </c>
      <c r="J18" s="218" t="str">
        <f ca="1">IF(ISERROR($V18),"",OFFSET('Smelter Look-up'!$I$4,$V18-4,0))</f>
        <v>Hong Kong SAR</v>
      </c>
      <c r="K18" s="267"/>
      <c r="L18" s="267"/>
      <c r="M18" s="267"/>
      <c r="N18" s="267"/>
      <c r="O18" s="267"/>
      <c r="P18" s="219"/>
      <c r="Q18" s="268"/>
      <c r="R18" s="216" t="str">
        <f ca="1">IF(ISERROR($V18),"",OFFSET('Smelter Look-up'!$C$4,$V18-4,0)&amp;"")</f>
        <v>Metalor Technologies (Hong Kong) Ltd.</v>
      </c>
      <c r="S18" s="224" t="str">
        <f t="shared" ca="1" si="0"/>
        <v>CN</v>
      </c>
      <c r="T18" s="224" t="str">
        <f ca="1">IF(B18="","",IF(ISERROR(MATCH($J18,SorP!$B$1:$B$6230,0)),"",INDIRECT("'SorP'!$A$"&amp;MATCH($J18,SorP!$B$1:$B$6230,0))))</f>
        <v>CN-HK</v>
      </c>
      <c r="U18" s="239"/>
      <c r="V18" s="269">
        <f ca="1">IF(C18="",NA(),MATCH($B18&amp;$C18,'Smelter Look-up'!$J:$J,0))</f>
        <v>146</v>
      </c>
      <c r="W18" s="270"/>
      <c r="X18" s="270">
        <f t="shared" ca="1" si="1"/>
        <v>0</v>
      </c>
      <c r="Y18" s="270"/>
      <c r="Z18" s="270"/>
      <c r="AB18" s="272" t="str">
        <f t="shared" ca="1" si="2"/>
        <v>GoldMetalor Technologies (Hong Kong) Ltd.</v>
      </c>
    </row>
    <row r="19" spans="1:28" s="271" customFormat="1" ht="102">
      <c r="A19" s="215" t="s">
        <v>798</v>
      </c>
      <c r="B19" s="216" t="str">
        <f ca="1">IF(LEN(A19)=0,"",INDEX('Smelter Look-up'!$A:$A,MATCH($A19,'Smelter Look-up'!$E:$E,0)))</f>
        <v>Gold</v>
      </c>
      <c r="C19" s="220" t="str">
        <f ca="1">IF(LEN(A19)=0,"",INDEX('Smelter Look-up'!$C:$C,MATCH($A19,'Smelter Look-up'!$E:$E,0)))</f>
        <v>Metalor Technologies (Singapore) Pte., Ltd.</v>
      </c>
      <c r="D19" s="216"/>
      <c r="E19" s="216" t="str">
        <f ca="1">IF(ISERROR($V19),"",OFFSET('Smelter Look-up'!$D$4,$V19-4,0)&amp;"")</f>
        <v>SINGAPORE</v>
      </c>
      <c r="F19" s="216" t="str">
        <f ca="1">IF(ISERROR($V19),"",OFFSET('Smelter Look-up'!$E$4,$V19-4,0))</f>
        <v>CID001152</v>
      </c>
      <c r="G19" s="216" t="str">
        <f ca="1">IF(C19=$X$4,"Enter smelter details", IF(ISERROR($V19),"",OFFSET('Smelter Look-up'!$F$4,$V19-4,0)))</f>
        <v>RMI</v>
      </c>
      <c r="H19" s="217">
        <f ca="1">IF(ISERROR($V19),"",OFFSET('Smelter Look-up'!$G$4,$V19-4,0))</f>
        <v>0</v>
      </c>
      <c r="I19" s="218" t="str">
        <f ca="1">IF(ISERROR($V19),"",OFFSET('Smelter Look-up'!$H$4,$V19-4,0))</f>
        <v>Singapore</v>
      </c>
      <c r="J19" s="218" t="str">
        <f ca="1">IF(ISERROR($V19),"",OFFSET('Smelter Look-up'!$I$4,$V19-4,0))</f>
        <v>South West</v>
      </c>
      <c r="K19" s="267"/>
      <c r="L19" s="267"/>
      <c r="M19" s="267"/>
      <c r="N19" s="267"/>
      <c r="O19" s="267"/>
      <c r="P19" s="219"/>
      <c r="Q19" s="268"/>
      <c r="R19" s="216" t="str">
        <f ca="1">IF(ISERROR($V19),"",OFFSET('Smelter Look-up'!$C$4,$V19-4,0)&amp;"")</f>
        <v>Metalor Technologies (Singapore) Pte., Ltd.</v>
      </c>
      <c r="S19" s="224" t="str">
        <f t="shared" ca="1" si="0"/>
        <v>SG</v>
      </c>
      <c r="T19" s="224" t="str">
        <f ca="1">IF(B19="","",IF(ISERROR(MATCH($J19,SorP!$B$1:$B$6230,0)),"",INDIRECT("'SorP'!$A$"&amp;MATCH($J19,SorP!$B$1:$B$6230,0))))</f>
        <v>SG-05</v>
      </c>
      <c r="U19" s="239"/>
      <c r="V19" s="269">
        <f ca="1">IF(C19="",NA(),MATCH($B19&amp;$C19,'Smelter Look-up'!$J:$J,0))</f>
        <v>147</v>
      </c>
      <c r="W19" s="270"/>
      <c r="X19" s="270">
        <f t="shared" ca="1" si="1"/>
        <v>0</v>
      </c>
      <c r="Y19" s="270"/>
      <c r="Z19" s="270"/>
      <c r="AB19" s="272" t="str">
        <f t="shared" ca="1" si="2"/>
        <v>GoldMetalor Technologies (Singapore) Pte., Ltd.</v>
      </c>
    </row>
    <row r="20" spans="1:28" s="271" customFormat="1" ht="63.75">
      <c r="A20" s="215" t="s">
        <v>799</v>
      </c>
      <c r="B20" s="216" t="str">
        <f ca="1">IF(LEN(A20)=0,"",INDEX('Smelter Look-up'!$A:$A,MATCH($A20,'Smelter Look-up'!$E:$E,0)))</f>
        <v>Gold</v>
      </c>
      <c r="C20" s="220" t="str">
        <f ca="1">IF(LEN(A20)=0,"",INDEX('Smelter Look-up'!$C:$C,MATCH($A20,'Smelter Look-up'!$E:$E,0)))</f>
        <v>Metalor Technologies S.A.</v>
      </c>
      <c r="D20" s="216"/>
      <c r="E20" s="216" t="str">
        <f ca="1">IF(ISERROR($V20),"",OFFSET('Smelter Look-up'!$D$4,$V20-4,0)&amp;"")</f>
        <v>SWITZERLAND</v>
      </c>
      <c r="F20" s="216" t="str">
        <f ca="1">IF(ISERROR($V20),"",OFFSET('Smelter Look-up'!$E$4,$V20-4,0))</f>
        <v>CID001153</v>
      </c>
      <c r="G20" s="216" t="str">
        <f ca="1">IF(C20=$X$4,"Enter smelter details", IF(ISERROR($V20),"",OFFSET('Smelter Look-up'!$F$4,$V20-4,0)))</f>
        <v>RMI</v>
      </c>
      <c r="H20" s="217">
        <f ca="1">IF(ISERROR($V20),"",OFFSET('Smelter Look-up'!$G$4,$V20-4,0))</f>
        <v>0</v>
      </c>
      <c r="I20" s="218" t="str">
        <f ca="1">IF(ISERROR($V20),"",OFFSET('Smelter Look-up'!$H$4,$V20-4,0))</f>
        <v>Marin</v>
      </c>
      <c r="J20" s="218" t="str">
        <f ca="1">IF(ISERROR($V20),"",OFFSET('Smelter Look-up'!$I$4,$V20-4,0))</f>
        <v>Neuchâtel</v>
      </c>
      <c r="K20" s="267"/>
      <c r="L20" s="267"/>
      <c r="M20" s="267"/>
      <c r="N20" s="267"/>
      <c r="O20" s="267"/>
      <c r="P20" s="219"/>
      <c r="Q20" s="268"/>
      <c r="R20" s="216" t="str">
        <f ca="1">IF(ISERROR($V20),"",OFFSET('Smelter Look-up'!$C$4,$V20-4,0)&amp;"")</f>
        <v>Metalor Technologies S.A.</v>
      </c>
      <c r="S20" s="224" t="str">
        <f t="shared" ca="1" si="0"/>
        <v>CH</v>
      </c>
      <c r="T20" s="224" t="str">
        <f ca="1">IF(B20="","",IF(ISERROR(MATCH($J20,SorP!$B$1:$B$6230,0)),"",INDIRECT("'SorP'!$A$"&amp;MATCH($J20,SorP!$B$1:$B$6230,0))))</f>
        <v>CH-NE</v>
      </c>
      <c r="U20" s="239"/>
      <c r="V20" s="269">
        <f ca="1">IF(C20="",NA(),MATCH($B20&amp;$C20,'Smelter Look-up'!$J:$J,0))</f>
        <v>149</v>
      </c>
      <c r="W20" s="270"/>
      <c r="X20" s="270">
        <f t="shared" ca="1" si="1"/>
        <v>0</v>
      </c>
      <c r="Y20" s="270"/>
      <c r="Z20" s="270"/>
      <c r="AB20" s="272" t="str">
        <f t="shared" ca="1" si="2"/>
        <v>GoldMetalor Technologies S.A.</v>
      </c>
    </row>
    <row r="21" spans="1:28" s="271" customFormat="1" ht="63.75">
      <c r="A21" s="215" t="s">
        <v>800</v>
      </c>
      <c r="B21" s="216" t="str">
        <f ca="1">IF(LEN(A21)=0,"",INDEX('Smelter Look-up'!$A:$A,MATCH($A21,'Smelter Look-up'!$E:$E,0)))</f>
        <v>Gold</v>
      </c>
      <c r="C21" s="220" t="str">
        <f ca="1">IF(LEN(A21)=0,"",INDEX('Smelter Look-up'!$C:$C,MATCH($A21,'Smelter Look-up'!$E:$E,0)))</f>
        <v>Metalor USA Refining Corporation</v>
      </c>
      <c r="D21" s="216"/>
      <c r="E21" s="216" t="str">
        <f ca="1">IF(ISERROR($V21),"",OFFSET('Smelter Look-up'!$D$4,$V21-4,0)&amp;"")</f>
        <v>UNITED STATES OF AMERICA</v>
      </c>
      <c r="F21" s="216" t="str">
        <f ca="1">IF(ISERROR($V21),"",OFFSET('Smelter Look-up'!$E$4,$V21-4,0))</f>
        <v>CID001157</v>
      </c>
      <c r="G21" s="216" t="str">
        <f ca="1">IF(C21=$X$4,"Enter smelter details", IF(ISERROR($V21),"",OFFSET('Smelter Look-up'!$F$4,$V21-4,0)))</f>
        <v>RMI</v>
      </c>
      <c r="H21" s="217">
        <f ca="1">IF(ISERROR($V21),"",OFFSET('Smelter Look-up'!$G$4,$V21-4,0))</f>
        <v>0</v>
      </c>
      <c r="I21" s="218" t="str">
        <f ca="1">IF(ISERROR($V21),"",OFFSET('Smelter Look-up'!$H$4,$V21-4,0))</f>
        <v>North Attleboro</v>
      </c>
      <c r="J21" s="218" t="str">
        <f ca="1">IF(ISERROR($V21),"",OFFSET('Smelter Look-up'!$I$4,$V21-4,0))</f>
        <v>Massachusetts</v>
      </c>
      <c r="K21" s="267"/>
      <c r="L21" s="267"/>
      <c r="M21" s="267"/>
      <c r="N21" s="267"/>
      <c r="O21" s="267"/>
      <c r="P21" s="219"/>
      <c r="Q21" s="268"/>
      <c r="R21" s="216" t="str">
        <f ca="1">IF(ISERROR($V21),"",OFFSET('Smelter Look-up'!$C$4,$V21-4,0)&amp;"")</f>
        <v>Metalor USA Refining Corporation</v>
      </c>
      <c r="S21" s="224" t="str">
        <f t="shared" ca="1" si="0"/>
        <v>US</v>
      </c>
      <c r="T21" s="224" t="str">
        <f ca="1">IF(B21="","",IF(ISERROR(MATCH($J21,SorP!$B$1:$B$6230,0)),"",INDIRECT("'SorP'!$A$"&amp;MATCH($J21,SorP!$B$1:$B$6230,0))))</f>
        <v>US-MA</v>
      </c>
      <c r="U21" s="239"/>
      <c r="V21" s="269">
        <f ca="1">IF(C21="",NA(),MATCH($B21&amp;$C21,'Smelter Look-up'!$J:$J,0))</f>
        <v>150</v>
      </c>
      <c r="W21" s="270"/>
      <c r="X21" s="270">
        <f t="shared" ca="1" si="1"/>
        <v>0</v>
      </c>
      <c r="Y21" s="270"/>
      <c r="Z21" s="270"/>
      <c r="AB21" s="272" t="str">
        <f t="shared" ca="1" si="2"/>
        <v>GoldMetalor USA Refining Corporation</v>
      </c>
    </row>
    <row r="22" spans="1:28" s="271" customFormat="1" ht="76.5">
      <c r="A22" s="215" t="s">
        <v>802</v>
      </c>
      <c r="B22" s="216" t="str">
        <f ca="1">IF(LEN(A22)=0,"",INDEX('Smelter Look-up'!$A:$A,MATCH($A22,'Smelter Look-up'!$E:$E,0)))</f>
        <v>Gold</v>
      </c>
      <c r="C22" s="220" t="str">
        <f ca="1">IF(LEN(A22)=0,"",INDEX('Smelter Look-up'!$C:$C,MATCH($A22,'Smelter Look-up'!$E:$E,0)))</f>
        <v>Mitsubishi Materials Corporation</v>
      </c>
      <c r="D22" s="216"/>
      <c r="E22" s="216" t="str">
        <f ca="1">IF(ISERROR($V22),"",OFFSET('Smelter Look-up'!$D$4,$V22-4,0)&amp;"")</f>
        <v>JAPAN</v>
      </c>
      <c r="F22" s="216" t="str">
        <f ca="1">IF(ISERROR($V22),"",OFFSET('Smelter Look-up'!$E$4,$V22-4,0))</f>
        <v>CID001188</v>
      </c>
      <c r="G22" s="216" t="str">
        <f ca="1">IF(C22=$X$4,"Enter smelter details", IF(ISERROR($V22),"",OFFSET('Smelter Look-up'!$F$4,$V22-4,0)))</f>
        <v>RMI</v>
      </c>
      <c r="H22" s="217">
        <f ca="1">IF(ISERROR($V22),"",OFFSET('Smelter Look-up'!$G$4,$V22-4,0))</f>
        <v>0</v>
      </c>
      <c r="I22" s="218" t="str">
        <f ca="1">IF(ISERROR($V22),"",OFFSET('Smelter Look-up'!$H$4,$V22-4,0))</f>
        <v>Naoshima</v>
      </c>
      <c r="J22" s="218" t="str">
        <f ca="1">IF(ISERROR($V22),"",OFFSET('Smelter Look-up'!$I$4,$V22-4,0))</f>
        <v>Kagawa</v>
      </c>
      <c r="K22" s="267"/>
      <c r="L22" s="267"/>
      <c r="M22" s="267"/>
      <c r="N22" s="267"/>
      <c r="O22" s="267"/>
      <c r="P22" s="219"/>
      <c r="Q22" s="268"/>
      <c r="R22" s="216" t="str">
        <f ca="1">IF(ISERROR($V22),"",OFFSET('Smelter Look-up'!$C$4,$V22-4,0)&amp;"")</f>
        <v>Mitsubishi Materials Corporation</v>
      </c>
      <c r="S22" s="224" t="str">
        <f t="shared" ca="1" si="0"/>
        <v>JP</v>
      </c>
      <c r="T22" s="224" t="str">
        <f ca="1">IF(B22="","",IF(ISERROR(MATCH($J22,SorP!$B$1:$B$6230,0)),"",INDIRECT("'SorP'!$A$"&amp;MATCH($J22,SorP!$B$1:$B$6230,0))))</f>
        <v>JP-37</v>
      </c>
      <c r="U22" s="239"/>
      <c r="V22" s="269">
        <f ca="1">IF(C22="",NA(),MATCH($B22&amp;$C22,'Smelter Look-up'!$J:$J,0))</f>
        <v>155</v>
      </c>
      <c r="W22" s="270"/>
      <c r="X22" s="270">
        <f t="shared" ca="1" si="1"/>
        <v>0</v>
      </c>
      <c r="Y22" s="270"/>
      <c r="Z22" s="270"/>
      <c r="AB22" s="272" t="str">
        <f t="shared" ca="1" si="2"/>
        <v>GoldMitsubishi Materials Corporation</v>
      </c>
    </row>
    <row r="23" spans="1:28" s="271" customFormat="1" ht="89.25">
      <c r="A23" s="215" t="s">
        <v>803</v>
      </c>
      <c r="B23" s="216" t="str">
        <f ca="1">IF(LEN(A23)=0,"",INDEX('Smelter Look-up'!$A:$A,MATCH($A23,'Smelter Look-up'!$E:$E,0)))</f>
        <v>Gold</v>
      </c>
      <c r="C23" s="220" t="str">
        <f ca="1">IF(LEN(A23)=0,"",INDEX('Smelter Look-up'!$C:$C,MATCH($A23,'Smelter Look-up'!$E:$E,0)))</f>
        <v>Mitsui Mining and Smelting Co., Ltd.</v>
      </c>
      <c r="D23" s="216"/>
      <c r="E23" s="216" t="str">
        <f ca="1">IF(ISERROR($V23),"",OFFSET('Smelter Look-up'!$D$4,$V23-4,0)&amp;"")</f>
        <v>JAPAN</v>
      </c>
      <c r="F23" s="216" t="str">
        <f ca="1">IF(ISERROR($V23),"",OFFSET('Smelter Look-up'!$E$4,$V23-4,0))</f>
        <v>CID001193</v>
      </c>
      <c r="G23" s="216" t="str">
        <f ca="1">IF(C23=$X$4,"Enter smelter details", IF(ISERROR($V23),"",OFFSET('Smelter Look-up'!$F$4,$V23-4,0)))</f>
        <v>RMI</v>
      </c>
      <c r="H23" s="217">
        <f ca="1">IF(ISERROR($V23),"",OFFSET('Smelter Look-up'!$G$4,$V23-4,0))</f>
        <v>0</v>
      </c>
      <c r="I23" s="218" t="str">
        <f ca="1">IF(ISERROR($V23),"",OFFSET('Smelter Look-up'!$H$4,$V23-4,0))</f>
        <v>Takehara</v>
      </c>
      <c r="J23" s="218" t="str">
        <f ca="1">IF(ISERROR($V23),"",OFFSET('Smelter Look-up'!$I$4,$V23-4,0))</f>
        <v>Hiroshima</v>
      </c>
      <c r="K23" s="267"/>
      <c r="L23" s="267"/>
      <c r="M23" s="267"/>
      <c r="N23" s="267"/>
      <c r="O23" s="267"/>
      <c r="P23" s="219"/>
      <c r="Q23" s="268"/>
      <c r="R23" s="216" t="str">
        <f ca="1">IF(ISERROR($V23),"",OFFSET('Smelter Look-up'!$C$4,$V23-4,0)&amp;"")</f>
        <v>Mitsui Mining and Smelting Co., Ltd.</v>
      </c>
      <c r="S23" s="224" t="str">
        <f t="shared" ca="1" si="0"/>
        <v>JP</v>
      </c>
      <c r="T23" s="224" t="str">
        <f ca="1">IF(B23="","",IF(ISERROR(MATCH($J23,SorP!$B$1:$B$6230,0)),"",INDIRECT("'SorP'!$A$"&amp;MATCH($J23,SorP!$B$1:$B$6230,0))))</f>
        <v>JP-34</v>
      </c>
      <c r="U23" s="239"/>
      <c r="V23" s="269">
        <f ca="1">IF(C23="",NA(),MATCH($B23&amp;$C23,'Smelter Look-up'!$J:$J,0))</f>
        <v>157</v>
      </c>
      <c r="W23" s="270"/>
      <c r="X23" s="270">
        <f t="shared" ca="1" si="1"/>
        <v>0</v>
      </c>
      <c r="Y23" s="270"/>
      <c r="Z23" s="270"/>
      <c r="AB23" s="272" t="str">
        <f t="shared" ca="1" si="2"/>
        <v>GoldMitsui Mining and Smelting Co., Ltd.</v>
      </c>
    </row>
    <row r="24" spans="1:28" s="271" customFormat="1" ht="63.75">
      <c r="A24" s="215" t="s">
        <v>807</v>
      </c>
      <c r="B24" s="216" t="str">
        <f ca="1">IF(LEN(A24)=0,"",INDEX('Smelter Look-up'!$A:$A,MATCH($A24,'Smelter Look-up'!$E:$E,0)))</f>
        <v>Gold</v>
      </c>
      <c r="C24" s="220" t="str">
        <f ca="1">IF(LEN(A24)=0,"",INDEX('Smelter Look-up'!$C:$C,MATCH($A24,'Smelter Look-up'!$E:$E,0)))</f>
        <v>Nihon Material Co., Ltd.</v>
      </c>
      <c r="D24" s="216"/>
      <c r="E24" s="216" t="str">
        <f ca="1">IF(ISERROR($V24),"",OFFSET('Smelter Look-up'!$D$4,$V24-4,0)&amp;"")</f>
        <v>JAPAN</v>
      </c>
      <c r="F24" s="216" t="str">
        <f ca="1">IF(ISERROR($V24),"",OFFSET('Smelter Look-up'!$E$4,$V24-4,0))</f>
        <v>CID001259</v>
      </c>
      <c r="G24" s="216" t="str">
        <f ca="1">IF(C24=$X$4,"Enter smelter details", IF(ISERROR($V24),"",OFFSET('Smelter Look-up'!$F$4,$V24-4,0)))</f>
        <v>RMI</v>
      </c>
      <c r="H24" s="217">
        <f ca="1">IF(ISERROR($V24),"",OFFSET('Smelter Look-up'!$G$4,$V24-4,0))</f>
        <v>0</v>
      </c>
      <c r="I24" s="218" t="str">
        <f ca="1">IF(ISERROR($V24),"",OFFSET('Smelter Look-up'!$H$4,$V24-4,0))</f>
        <v>Noda</v>
      </c>
      <c r="J24" s="218" t="str">
        <f ca="1">IF(ISERROR($V24),"",OFFSET('Smelter Look-up'!$I$4,$V24-4,0))</f>
        <v>Chiba</v>
      </c>
      <c r="K24" s="267"/>
      <c r="L24" s="267"/>
      <c r="M24" s="267"/>
      <c r="N24" s="267"/>
      <c r="O24" s="267"/>
      <c r="P24" s="219"/>
      <c r="Q24" s="268"/>
      <c r="R24" s="216" t="str">
        <f ca="1">IF(ISERROR($V24),"",OFFSET('Smelter Look-up'!$C$4,$V24-4,0)&amp;"")</f>
        <v>Nihon Material Co., Ltd.</v>
      </c>
      <c r="S24" s="224" t="str">
        <f t="shared" ca="1" si="0"/>
        <v>JP</v>
      </c>
      <c r="T24" s="224" t="str">
        <f ca="1">IF(B24="","",IF(ISERROR(MATCH($J24,SorP!$B$1:$B$6230,0)),"",INDIRECT("'SorP'!$A$"&amp;MATCH($J24,SorP!$B$1:$B$6230,0))))</f>
        <v>JP-12</v>
      </c>
      <c r="U24" s="239"/>
      <c r="V24" s="269">
        <f ca="1">IF(C24="",NA(),MATCH($B24&amp;$C24,'Smelter Look-up'!$J:$J,0))</f>
        <v>167</v>
      </c>
      <c r="W24" s="270"/>
      <c r="X24" s="270">
        <f t="shared" ca="1" si="1"/>
        <v>0</v>
      </c>
      <c r="Y24" s="270"/>
      <c r="Z24" s="270"/>
      <c r="AB24" s="272" t="str">
        <f t="shared" ca="1" si="2"/>
        <v>GoldNihon Material Co., Ltd.</v>
      </c>
    </row>
    <row r="25" spans="1:28" s="271" customFormat="1" ht="89.25">
      <c r="A25" s="215" t="s">
        <v>808</v>
      </c>
      <c r="B25" s="216" t="str">
        <f ca="1">IF(LEN(A25)=0,"",INDEX('Smelter Look-up'!$A:$A,MATCH($A25,'Smelter Look-up'!$E:$E,0)))</f>
        <v>Gold</v>
      </c>
      <c r="C25" s="220" t="str">
        <f ca="1">IF(LEN(A25)=0,"",INDEX('Smelter Look-up'!$C:$C,MATCH($A25,'Smelter Look-up'!$E:$E,0)))</f>
        <v>Ohura Precious Metal Industry Co., Ltd.</v>
      </c>
      <c r="D25" s="216"/>
      <c r="E25" s="216" t="str">
        <f ca="1">IF(ISERROR($V25),"",OFFSET('Smelter Look-up'!$D$4,$V25-4,0)&amp;"")</f>
        <v>JAPAN</v>
      </c>
      <c r="F25" s="216" t="str">
        <f ca="1">IF(ISERROR($V25),"",OFFSET('Smelter Look-up'!$E$4,$V25-4,0))</f>
        <v>CID001325</v>
      </c>
      <c r="G25" s="216" t="str">
        <f ca="1">IF(C25=$X$4,"Enter smelter details", IF(ISERROR($V25),"",OFFSET('Smelter Look-up'!$F$4,$V25-4,0)))</f>
        <v>RMI</v>
      </c>
      <c r="H25" s="217">
        <f ca="1">IF(ISERROR($V25),"",OFFSET('Smelter Look-up'!$G$4,$V25-4,0))</f>
        <v>0</v>
      </c>
      <c r="I25" s="218" t="str">
        <f ca="1">IF(ISERROR($V25),"",OFFSET('Smelter Look-up'!$H$4,$V25-4,0))</f>
        <v>Nara-shi</v>
      </c>
      <c r="J25" s="218" t="str">
        <f ca="1">IF(ISERROR($V25),"",OFFSET('Smelter Look-up'!$I$4,$V25-4,0))</f>
        <v>Nara</v>
      </c>
      <c r="K25" s="267"/>
      <c r="L25" s="267"/>
      <c r="M25" s="267"/>
      <c r="N25" s="267"/>
      <c r="O25" s="267"/>
      <c r="P25" s="219"/>
      <c r="Q25" s="268"/>
      <c r="R25" s="216" t="str">
        <f ca="1">IF(ISERROR($V25),"",OFFSET('Smelter Look-up'!$C$4,$V25-4,0)&amp;"")</f>
        <v>Ohura Precious Metal Industry Co., Ltd.</v>
      </c>
      <c r="S25" s="224" t="str">
        <f t="shared" ca="1" si="0"/>
        <v>JP</v>
      </c>
      <c r="T25" s="224" t="str">
        <f ca="1">IF(B25="","",IF(ISERROR(MATCH($J25,SorP!$B$1:$B$6230,0)),"",INDIRECT("'SorP'!$A$"&amp;MATCH($J25,SorP!$B$1:$B$6230,0))))</f>
        <v>JP-29</v>
      </c>
      <c r="U25" s="239"/>
      <c r="V25" s="269">
        <f ca="1">IF(C25="",NA(),MATCH($B25&amp;$C25,'Smelter Look-up'!$J:$J,0))</f>
        <v>172</v>
      </c>
      <c r="W25" s="270"/>
      <c r="X25" s="270">
        <f t="shared" ca="1" si="1"/>
        <v>0</v>
      </c>
      <c r="Y25" s="270"/>
      <c r="Z25" s="270"/>
      <c r="AB25" s="272" t="str">
        <f t="shared" ca="1" si="2"/>
        <v>GoldOhura Precious Metal Industry Co., Ltd.</v>
      </c>
    </row>
    <row r="26" spans="1:28" s="271" customFormat="1" ht="63.75">
      <c r="A26" s="215" t="s">
        <v>815</v>
      </c>
      <c r="B26" s="216" t="str">
        <f ca="1">IF(LEN(A26)=0,"",INDEX('Smelter Look-up'!$A:$A,MATCH($A26,'Smelter Look-up'!$E:$E,0)))</f>
        <v>Gold</v>
      </c>
      <c r="C26" s="220" t="str">
        <f ca="1">IF(LEN(A26)=0,"",INDEX('Smelter Look-up'!$C:$C,MATCH($A26,'Smelter Look-up'!$E:$E,0)))</f>
        <v>Rand Refinery (Pty) Ltd.</v>
      </c>
      <c r="D26" s="216"/>
      <c r="E26" s="216" t="str">
        <f ca="1">IF(ISERROR($V26),"",OFFSET('Smelter Look-up'!$D$4,$V26-4,0)&amp;"")</f>
        <v>SOUTH AFRICA</v>
      </c>
      <c r="F26" s="216" t="str">
        <f ca="1">IF(ISERROR($V26),"",OFFSET('Smelter Look-up'!$E$4,$V26-4,0))</f>
        <v>CID001512</v>
      </c>
      <c r="G26" s="216" t="str">
        <f ca="1">IF(C26=$X$4,"Enter smelter details", IF(ISERROR($V26),"",OFFSET('Smelter Look-up'!$F$4,$V26-4,0)))</f>
        <v>RMI</v>
      </c>
      <c r="H26" s="217">
        <f ca="1">IF(ISERROR($V26),"",OFFSET('Smelter Look-up'!$G$4,$V26-4,0))</f>
        <v>0</v>
      </c>
      <c r="I26" s="218" t="str">
        <f ca="1">IF(ISERROR($V26),"",OFFSET('Smelter Look-up'!$H$4,$V26-4,0))</f>
        <v>Germiston</v>
      </c>
      <c r="J26" s="218" t="str">
        <f ca="1">IF(ISERROR($V26),"",OFFSET('Smelter Look-up'!$I$4,$V26-4,0))</f>
        <v>Gauteng</v>
      </c>
      <c r="K26" s="267"/>
      <c r="L26" s="267"/>
      <c r="M26" s="267"/>
      <c r="N26" s="267"/>
      <c r="O26" s="267"/>
      <c r="P26" s="219"/>
      <c r="Q26" s="268"/>
      <c r="R26" s="216" t="str">
        <f ca="1">IF(ISERROR($V26),"",OFFSET('Smelter Look-up'!$C$4,$V26-4,0)&amp;"")</f>
        <v>Rand Refinery (Pty) Ltd.</v>
      </c>
      <c r="S26" s="224" t="str">
        <f t="shared" ca="1" si="0"/>
        <v>ZA</v>
      </c>
      <c r="T26" s="224" t="str">
        <f ca="1">IF(B26="","",IF(ISERROR(MATCH($J26,SorP!$B$1:$B$6230,0)),"",INDIRECT("'SorP'!$A$"&amp;MATCH($J26,SorP!$B$1:$B$6230,0))))</f>
        <v>ZA-GT</v>
      </c>
      <c r="U26" s="239"/>
      <c r="V26" s="269">
        <f ca="1">IF(C26="",NA(),MATCH($B26&amp;$C26,'Smelter Look-up'!$J:$J,0))</f>
        <v>189</v>
      </c>
      <c r="W26" s="270"/>
      <c r="X26" s="270">
        <f t="shared" ca="1" si="1"/>
        <v>0</v>
      </c>
      <c r="Y26" s="270"/>
      <c r="Z26" s="270"/>
      <c r="AB26" s="272" t="str">
        <f t="shared" ca="1" si="2"/>
        <v>GoldRand Refinery (Pty) Ltd.</v>
      </c>
    </row>
    <row r="27" spans="1:28" s="271" customFormat="1" ht="51">
      <c r="A27" s="215" t="s">
        <v>816</v>
      </c>
      <c r="B27" s="216" t="str">
        <f ca="1">IF(LEN(A27)=0,"",INDEX('Smelter Look-up'!$A:$A,MATCH($A27,'Smelter Look-up'!$E:$E,0)))</f>
        <v>Gold</v>
      </c>
      <c r="C27" s="220" t="str">
        <f ca="1">IF(LEN(A27)=0,"",INDEX('Smelter Look-up'!$C:$C,MATCH($A27,'Smelter Look-up'!$E:$E,0)))</f>
        <v>Royal Canadian Mint</v>
      </c>
      <c r="D27" s="216"/>
      <c r="E27" s="216" t="str">
        <f ca="1">IF(ISERROR($V27),"",OFFSET('Smelter Look-up'!$D$4,$V27-4,0)&amp;"")</f>
        <v>CANADA</v>
      </c>
      <c r="F27" s="216" t="str">
        <f ca="1">IF(ISERROR($V27),"",OFFSET('Smelter Look-up'!$E$4,$V27-4,0))</f>
        <v>CID001534</v>
      </c>
      <c r="G27" s="216" t="str">
        <f ca="1">IF(C27=$X$4,"Enter smelter details", IF(ISERROR($V27),"",OFFSET('Smelter Look-up'!$F$4,$V27-4,0)))</f>
        <v>RMI</v>
      </c>
      <c r="H27" s="217">
        <f ca="1">IF(ISERROR($V27),"",OFFSET('Smelter Look-up'!$G$4,$V27-4,0))</f>
        <v>0</v>
      </c>
      <c r="I27" s="218" t="str">
        <f ca="1">IF(ISERROR($V27),"",OFFSET('Smelter Look-up'!$H$4,$V27-4,0))</f>
        <v>Ottawa</v>
      </c>
      <c r="J27" s="218" t="str">
        <f ca="1">IF(ISERROR($V27),"",OFFSET('Smelter Look-up'!$I$4,$V27-4,0))</f>
        <v>Ontario</v>
      </c>
      <c r="K27" s="267"/>
      <c r="L27" s="267"/>
      <c r="M27" s="267"/>
      <c r="N27" s="267"/>
      <c r="O27" s="267"/>
      <c r="P27" s="219"/>
      <c r="Q27" s="268"/>
      <c r="R27" s="216" t="str">
        <f ca="1">IF(ISERROR($V27),"",OFFSET('Smelter Look-up'!$C$4,$V27-4,0)&amp;"")</f>
        <v>Royal Canadian Mint</v>
      </c>
      <c r="S27" s="224" t="str">
        <f t="shared" ca="1" si="0"/>
        <v>CA</v>
      </c>
      <c r="T27" s="224" t="str">
        <f ca="1">IF(B27="","",IF(ISERROR(MATCH($J27,SorP!$B$1:$B$6230,0)),"",INDIRECT("'SorP'!$A$"&amp;MATCH($J27,SorP!$B$1:$B$6230,0))))</f>
        <v>CA-ON</v>
      </c>
      <c r="U27" s="239"/>
      <c r="V27" s="269">
        <f ca="1">IF(C27="",NA(),MATCH($B27&amp;$C27,'Smelter Look-up'!$J:$J,0))</f>
        <v>194</v>
      </c>
      <c r="W27" s="270"/>
      <c r="X27" s="270">
        <f t="shared" ca="1" si="1"/>
        <v>0</v>
      </c>
      <c r="Y27" s="270"/>
      <c r="Z27" s="270"/>
      <c r="AB27" s="272" t="str">
        <f t="shared" ca="1" si="2"/>
        <v>GoldRoyal Canadian Mint</v>
      </c>
    </row>
    <row r="28" spans="1:28" s="271" customFormat="1" ht="102">
      <c r="A28" s="215" t="s">
        <v>820</v>
      </c>
      <c r="B28" s="216" t="str">
        <f ca="1">IF(LEN(A28)=0,"",INDEX('Smelter Look-up'!$A:$A,MATCH($A28,'Smelter Look-up'!$E:$E,0)))</f>
        <v>Gold</v>
      </c>
      <c r="C28" s="220" t="str">
        <f ca="1">IF(LEN(A28)=0,"",INDEX('Smelter Look-up'!$C:$C,MATCH($A28,'Smelter Look-up'!$E:$E,0)))</f>
        <v>Shandong Zhaojin Gold &amp; Silver Refinery Co., Ltd.</v>
      </c>
      <c r="D28" s="216"/>
      <c r="E28" s="216" t="str">
        <f ca="1">IF(ISERROR($V28),"",OFFSET('Smelter Look-up'!$D$4,$V28-4,0)&amp;"")</f>
        <v>CHINA</v>
      </c>
      <c r="F28" s="216" t="str">
        <f ca="1">IF(ISERROR($V28),"",OFFSET('Smelter Look-up'!$E$4,$V28-4,0))</f>
        <v>CID001622</v>
      </c>
      <c r="G28" s="216" t="str">
        <f ca="1">IF(C28=$X$4,"Enter smelter details", IF(ISERROR($V28),"",OFFSET('Smelter Look-up'!$F$4,$V28-4,0)))</f>
        <v>RMI</v>
      </c>
      <c r="H28" s="217">
        <f ca="1">IF(ISERROR($V28),"",OFFSET('Smelter Look-up'!$G$4,$V28-4,0))</f>
        <v>0</v>
      </c>
      <c r="I28" s="218" t="str">
        <f ca="1">IF(ISERROR($V28),"",OFFSET('Smelter Look-up'!$H$4,$V28-4,0))</f>
        <v>Zhaoyuan</v>
      </c>
      <c r="J28" s="218" t="str">
        <f ca="1">IF(ISERROR($V28),"",OFFSET('Smelter Look-up'!$I$4,$V28-4,0))</f>
        <v>Shandong Sheng</v>
      </c>
      <c r="K28" s="267"/>
      <c r="L28" s="267"/>
      <c r="M28" s="267"/>
      <c r="N28" s="267"/>
      <c r="O28" s="267"/>
      <c r="P28" s="219"/>
      <c r="Q28" s="268"/>
      <c r="R28" s="216" t="str">
        <f ca="1">IF(ISERROR($V28),"",OFFSET('Smelter Look-up'!$C$4,$V28-4,0)&amp;"")</f>
        <v>Shandong Zhaojin Gold &amp; Silver Refinery Co., Ltd.</v>
      </c>
      <c r="S28" s="224" t="str">
        <f t="shared" ca="1" si="0"/>
        <v>CN</v>
      </c>
      <c r="T28" s="224" t="str">
        <f ca="1">IF(B28="","",IF(ISERROR(MATCH($J28,SorP!$B$1:$B$6230,0)),"",INDIRECT("'SorP'!$A$"&amp;MATCH($J28,SorP!$B$1:$B$6230,0))))</f>
        <v>CN-SD</v>
      </c>
      <c r="U28" s="239"/>
      <c r="V28" s="269">
        <f ca="1">IF(C28="",NA(),MATCH($B28&amp;$C28,'Smelter Look-up'!$J:$J,0))</f>
        <v>215</v>
      </c>
      <c r="W28" s="270"/>
      <c r="X28" s="270">
        <f t="shared" ca="1" si="1"/>
        <v>0</v>
      </c>
      <c r="Y28" s="270"/>
      <c r="Z28" s="270"/>
      <c r="AB28" s="272" t="str">
        <f t="shared" ca="1" si="2"/>
        <v>GoldShandong Zhaojin Gold &amp; Silver Refinery Co., Ltd.</v>
      </c>
    </row>
    <row r="29" spans="1:28" s="271" customFormat="1" ht="76.5">
      <c r="A29" s="215" t="s">
        <v>823</v>
      </c>
      <c r="B29" s="216" t="str">
        <f ca="1">IF(LEN(A29)=0,"",INDEX('Smelter Look-up'!$A:$A,MATCH($A29,'Smelter Look-up'!$E:$E,0)))</f>
        <v>Gold</v>
      </c>
      <c r="C29" s="220" t="str">
        <f ca="1">IF(LEN(A29)=0,"",INDEX('Smelter Look-up'!$C:$C,MATCH($A29,'Smelter Look-up'!$E:$E,0)))</f>
        <v>Sumitomo Metal Mining Co., Ltd.</v>
      </c>
      <c r="D29" s="216"/>
      <c r="E29" s="216" t="str">
        <f ca="1">IF(ISERROR($V29),"",OFFSET('Smelter Look-up'!$D$4,$V29-4,0)&amp;"")</f>
        <v>JAPAN</v>
      </c>
      <c r="F29" s="216" t="str">
        <f ca="1">IF(ISERROR($V29),"",OFFSET('Smelter Look-up'!$E$4,$V29-4,0))</f>
        <v>CID001798</v>
      </c>
      <c r="G29" s="216" t="str">
        <f ca="1">IF(C29=$X$4,"Enter smelter details", IF(ISERROR($V29),"",OFFSET('Smelter Look-up'!$F$4,$V29-4,0)))</f>
        <v>RMI</v>
      </c>
      <c r="H29" s="217">
        <f ca="1">IF(ISERROR($V29),"",OFFSET('Smelter Look-up'!$G$4,$V29-4,0))</f>
        <v>0</v>
      </c>
      <c r="I29" s="218" t="str">
        <f ca="1">IF(ISERROR($V29),"",OFFSET('Smelter Look-up'!$H$4,$V29-4,0))</f>
        <v>Saijo</v>
      </c>
      <c r="J29" s="218" t="str">
        <f ca="1">IF(ISERROR($V29),"",OFFSET('Smelter Look-up'!$I$4,$V29-4,0))</f>
        <v>Ehime</v>
      </c>
      <c r="K29" s="267"/>
      <c r="L29" s="267"/>
      <c r="M29" s="267"/>
      <c r="N29" s="267"/>
      <c r="O29" s="267"/>
      <c r="P29" s="219"/>
      <c r="Q29" s="268"/>
      <c r="R29" s="216" t="str">
        <f ca="1">IF(ISERROR($V29),"",OFFSET('Smelter Look-up'!$C$4,$V29-4,0)&amp;"")</f>
        <v>Sumitomo Metal Mining Co., Ltd.</v>
      </c>
      <c r="S29" s="224" t="str">
        <f t="shared" ca="1" si="0"/>
        <v>JP</v>
      </c>
      <c r="T29" s="224" t="str">
        <f ca="1">IF(B29="","",IF(ISERROR(MATCH($J29,SorP!$B$1:$B$6230,0)),"",INDIRECT("'SorP'!$A$"&amp;MATCH($J29,SorP!$B$1:$B$6230,0))))</f>
        <v>JP-38</v>
      </c>
      <c r="U29" s="239"/>
      <c r="V29" s="269">
        <f ca="1">IF(C29="",NA(),MATCH($B29&amp;$C29,'Smelter Look-up'!$J:$J,0))</f>
        <v>231</v>
      </c>
      <c r="W29" s="270"/>
      <c r="X29" s="270">
        <f t="shared" ca="1" si="1"/>
        <v>0</v>
      </c>
      <c r="Y29" s="270"/>
      <c r="Z29" s="270"/>
      <c r="AB29" s="272" t="str">
        <f t="shared" ca="1" si="2"/>
        <v>GoldSumitomo Metal Mining Co., Ltd.</v>
      </c>
    </row>
    <row r="30" spans="1:28" s="271" customFormat="1" ht="63.75">
      <c r="A30" s="215" t="s">
        <v>824</v>
      </c>
      <c r="B30" s="216" t="str">
        <f ca="1">IF(LEN(A30)=0,"",INDEX('Smelter Look-up'!$A:$A,MATCH($A30,'Smelter Look-up'!$E:$E,0)))</f>
        <v>Gold</v>
      </c>
      <c r="C30" s="220" t="str">
        <f ca="1">IF(LEN(A30)=0,"",INDEX('Smelter Look-up'!$C:$C,MATCH($A30,'Smelter Look-up'!$E:$E,0)))</f>
        <v>Tanaka Kikinzoku Kogyo K.K.</v>
      </c>
      <c r="D30" s="216"/>
      <c r="E30" s="216" t="str">
        <f ca="1">IF(ISERROR($V30),"",OFFSET('Smelter Look-up'!$D$4,$V30-4,0)&amp;"")</f>
        <v>JAPAN</v>
      </c>
      <c r="F30" s="216" t="str">
        <f ca="1">IF(ISERROR($V30),"",OFFSET('Smelter Look-up'!$E$4,$V30-4,0))</f>
        <v>CID001875</v>
      </c>
      <c r="G30" s="216" t="str">
        <f ca="1">IF(C30=$X$4,"Enter smelter details", IF(ISERROR($V30),"",OFFSET('Smelter Look-up'!$F$4,$V30-4,0)))</f>
        <v>RMI</v>
      </c>
      <c r="H30" s="217">
        <f ca="1">IF(ISERROR($V30),"",OFFSET('Smelter Look-up'!$G$4,$V30-4,0))</f>
        <v>0</v>
      </c>
      <c r="I30" s="218" t="str">
        <f ca="1">IF(ISERROR($V30),"",OFFSET('Smelter Look-up'!$H$4,$V30-4,0))</f>
        <v>Hiratsuka</v>
      </c>
      <c r="J30" s="218" t="str">
        <f ca="1">IF(ISERROR($V30),"",OFFSET('Smelter Look-up'!$I$4,$V30-4,0))</f>
        <v>Kanagawa</v>
      </c>
      <c r="K30" s="267"/>
      <c r="L30" s="267"/>
      <c r="M30" s="267"/>
      <c r="N30" s="267"/>
      <c r="O30" s="267"/>
      <c r="P30" s="219"/>
      <c r="Q30" s="268"/>
      <c r="R30" s="216" t="str">
        <f ca="1">IF(ISERROR($V30),"",OFFSET('Smelter Look-up'!$C$4,$V30-4,0)&amp;"")</f>
        <v>Tanaka Kikinzoku Kogyo K.K.</v>
      </c>
      <c r="S30" s="224" t="str">
        <f t="shared" ca="1" si="0"/>
        <v>JP</v>
      </c>
      <c r="T30" s="224" t="str">
        <f ca="1">IF(B30="","",IF(ISERROR(MATCH($J30,SorP!$B$1:$B$6230,0)),"",INDIRECT("'SorP'!$A$"&amp;MATCH($J30,SorP!$B$1:$B$6230,0))))</f>
        <v>JP-14</v>
      </c>
      <c r="U30" s="239"/>
      <c r="V30" s="269">
        <f ca="1">IF(C30="",NA(),MATCH($B30&amp;$C30,'Smelter Look-up'!$J:$J,0))</f>
        <v>243</v>
      </c>
      <c r="W30" s="270"/>
      <c r="X30" s="270">
        <f t="shared" ca="1" si="1"/>
        <v>0</v>
      </c>
      <c r="Y30" s="270"/>
      <c r="Z30" s="270"/>
      <c r="AB30" s="272" t="str">
        <f t="shared" ca="1" si="2"/>
        <v>GoldTanaka Kikinzoku Kogyo K.K.</v>
      </c>
    </row>
    <row r="31" spans="1:28" s="271" customFormat="1" ht="63.75">
      <c r="A31" s="215" t="s">
        <v>827</v>
      </c>
      <c r="B31" s="216" t="str">
        <f ca="1">IF(LEN(A31)=0,"",INDEX('Smelter Look-up'!$A:$A,MATCH($A31,'Smelter Look-up'!$E:$E,0)))</f>
        <v>Gold</v>
      </c>
      <c r="C31" s="220" t="str">
        <f ca="1">IF(LEN(A31)=0,"",INDEX('Smelter Look-up'!$C:$C,MATCH($A31,'Smelter Look-up'!$E:$E,0)))</f>
        <v>Tokuriki Honten Co., Ltd.</v>
      </c>
      <c r="D31" s="216"/>
      <c r="E31" s="216" t="str">
        <f ca="1">IF(ISERROR($V31),"",OFFSET('Smelter Look-up'!$D$4,$V31-4,0)&amp;"")</f>
        <v>JAPAN</v>
      </c>
      <c r="F31" s="216" t="str">
        <f ca="1">IF(ISERROR($V31),"",OFFSET('Smelter Look-up'!$E$4,$V31-4,0))</f>
        <v>CID001938</v>
      </c>
      <c r="G31" s="216" t="str">
        <f ca="1">IF(C31=$X$4,"Enter smelter details", IF(ISERROR($V31),"",OFFSET('Smelter Look-up'!$F$4,$V31-4,0)))</f>
        <v>RMI</v>
      </c>
      <c r="H31" s="217">
        <f ca="1">IF(ISERROR($V31),"",OFFSET('Smelter Look-up'!$G$4,$V31-4,0))</f>
        <v>0</v>
      </c>
      <c r="I31" s="218" t="str">
        <f ca="1">IF(ISERROR($V31),"",OFFSET('Smelter Look-up'!$H$4,$V31-4,0))</f>
        <v>Kuki</v>
      </c>
      <c r="J31" s="218" t="str">
        <f ca="1">IF(ISERROR($V31),"",OFFSET('Smelter Look-up'!$I$4,$V31-4,0))</f>
        <v>Saitama</v>
      </c>
      <c r="K31" s="267"/>
      <c r="L31" s="267"/>
      <c r="M31" s="267"/>
      <c r="N31" s="267"/>
      <c r="O31" s="267"/>
      <c r="P31" s="219"/>
      <c r="Q31" s="268"/>
      <c r="R31" s="216" t="str">
        <f ca="1">IF(ISERROR($V31),"",OFFSET('Smelter Look-up'!$C$4,$V31-4,0)&amp;"")</f>
        <v>Tokuriki Honten Co., Ltd.</v>
      </c>
      <c r="S31" s="224" t="str">
        <f t="shared" ca="1" si="0"/>
        <v>JP</v>
      </c>
      <c r="T31" s="224" t="str">
        <f ca="1">IF(B31="","",IF(ISERROR(MATCH($J31,SorP!$B$1:$B$6230,0)),"",INDIRECT("'SorP'!$A$"&amp;MATCH($J31,SorP!$B$1:$B$6230,0))))</f>
        <v>JP-11</v>
      </c>
      <c r="U31" s="239"/>
      <c r="V31" s="269">
        <f ca="1">IF(C31="",NA(),MATCH($B31&amp;$C31,'Smelter Look-up'!$J:$J,0))</f>
        <v>248</v>
      </c>
      <c r="W31" s="270"/>
      <c r="X31" s="270">
        <f t="shared" ca="1" si="1"/>
        <v>0</v>
      </c>
      <c r="Y31" s="270"/>
      <c r="Z31" s="270"/>
      <c r="AB31" s="272" t="str">
        <f t="shared" ca="1" si="2"/>
        <v>GoldTokuriki Honten Co., Ltd.</v>
      </c>
    </row>
    <row r="32" spans="1:28" s="271" customFormat="1" ht="102">
      <c r="A32" s="215" t="s">
        <v>834</v>
      </c>
      <c r="B32" s="216" t="str">
        <f ca="1">IF(LEN(A32)=0,"",INDEX('Smelter Look-up'!$A:$A,MATCH($A32,'Smelter Look-up'!$E:$E,0)))</f>
        <v>Gold</v>
      </c>
      <c r="C32" s="220" t="str">
        <f ca="1">IF(LEN(A32)=0,"",INDEX('Smelter Look-up'!$C:$C,MATCH($A32,'Smelter Look-up'!$E:$E,0)))</f>
        <v>Western Australian Mint (T/a The Perth Mint)</v>
      </c>
      <c r="D32" s="216"/>
      <c r="E32" s="216" t="str">
        <f ca="1">IF(ISERROR($V32),"",OFFSET('Smelter Look-up'!$D$4,$V32-4,0)&amp;"")</f>
        <v>AUSTRALIA</v>
      </c>
      <c r="F32" s="216" t="str">
        <f ca="1">IF(ISERROR($V32),"",OFFSET('Smelter Look-up'!$E$4,$V32-4,0))</f>
        <v>CID002030</v>
      </c>
      <c r="G32" s="216" t="str">
        <f ca="1">IF(C32=$X$4,"Enter smelter details", IF(ISERROR($V32),"",OFFSET('Smelter Look-up'!$F$4,$V32-4,0)))</f>
        <v>RMI</v>
      </c>
      <c r="H32" s="217">
        <f ca="1">IF(ISERROR($V32),"",OFFSET('Smelter Look-up'!$G$4,$V32-4,0))</f>
        <v>0</v>
      </c>
      <c r="I32" s="218" t="str">
        <f ca="1">IF(ISERROR($V32),"",OFFSET('Smelter Look-up'!$H$4,$V32-4,0))</f>
        <v>Newburn</v>
      </c>
      <c r="J32" s="218" t="str">
        <f ca="1">IF(ISERROR($V32),"",OFFSET('Smelter Look-up'!$I$4,$V32-4,0))</f>
        <v>Western Australia</v>
      </c>
      <c r="K32" s="267"/>
      <c r="L32" s="267"/>
      <c r="M32" s="267"/>
      <c r="N32" s="267"/>
      <c r="O32" s="267"/>
      <c r="P32" s="219"/>
      <c r="Q32" s="268"/>
      <c r="R32" s="216" t="str">
        <f ca="1">IF(ISERROR($V32),"",OFFSET('Smelter Look-up'!$C$4,$V32-4,0)&amp;"")</f>
        <v>Western Australian Mint (T/a The Perth Mint)</v>
      </c>
      <c r="S32" s="224" t="str">
        <f t="shared" ca="1" si="0"/>
        <v>AU</v>
      </c>
      <c r="T32" s="224" t="str">
        <f ca="1">IF(B32="","",IF(ISERROR(MATCH($J32,SorP!$B$1:$B$6230,0)),"",INDIRECT("'SorP'!$A$"&amp;MATCH($J32,SorP!$B$1:$B$6230,0))))</f>
        <v>AU-WA</v>
      </c>
      <c r="U32" s="239"/>
      <c r="V32" s="269">
        <f ca="1">IF(C32="",NA(),MATCH($B32&amp;$C32,'Smelter Look-up'!$J:$J,0))</f>
        <v>262</v>
      </c>
      <c r="W32" s="270"/>
      <c r="X32" s="270">
        <f t="shared" ca="1" si="1"/>
        <v>0</v>
      </c>
      <c r="Y32" s="270"/>
      <c r="Z32" s="270"/>
      <c r="AB32" s="272" t="str">
        <f t="shared" ca="1" si="2"/>
        <v>GoldWestern Australian Mint (T/a The Perth Mint)</v>
      </c>
    </row>
    <row r="33" spans="1:28" s="271" customFormat="1" ht="89.25">
      <c r="A33" s="215" t="s">
        <v>866</v>
      </c>
      <c r="B33" s="216" t="str">
        <f ca="1">IF(LEN(A33)=0,"",INDEX('Smelter Look-up'!$A:$A,MATCH($A33,'Smelter Look-up'!$E:$E,0)))</f>
        <v>Tin</v>
      </c>
      <c r="C33" s="220" t="str">
        <f ca="1">IF(LEN(A33)=0,"",INDEX('Smelter Look-up'!$C:$C,MATCH($A33,'Smelter Look-up'!$E:$E,0)))</f>
        <v>Gejiu Non-Ferrous Metal Processing Co., Ltd.</v>
      </c>
      <c r="D33" s="216"/>
      <c r="E33" s="216" t="str">
        <f ca="1">IF(ISERROR($V33),"",OFFSET('Smelter Look-up'!$D$4,$V33-4,0)&amp;"")</f>
        <v>CHINA</v>
      </c>
      <c r="F33" s="216" t="str">
        <f ca="1">IF(ISERROR($V33),"",OFFSET('Smelter Look-up'!$E$4,$V33-4,0))</f>
        <v>CID000538</v>
      </c>
      <c r="G33" s="216" t="str">
        <f ca="1">IF(C33=$X$4,"Enter smelter details", IF(ISERROR($V33),"",OFFSET('Smelter Look-up'!$F$4,$V33-4,0)))</f>
        <v>RMI</v>
      </c>
      <c r="H33" s="217">
        <f ca="1">IF(ISERROR($V33),"",OFFSET('Smelter Look-up'!$G$4,$V33-4,0))</f>
        <v>0</v>
      </c>
      <c r="I33" s="218" t="str">
        <f ca="1">IF(ISERROR($V33),"",OFFSET('Smelter Look-up'!$H$4,$V33-4,0))</f>
        <v>Gejiu</v>
      </c>
      <c r="J33" s="218" t="str">
        <f ca="1">IF(ISERROR($V33),"",OFFSET('Smelter Look-up'!$I$4,$V33-4,0))</f>
        <v>Yunnan Sheng</v>
      </c>
      <c r="K33" s="267"/>
      <c r="L33" s="267"/>
      <c r="M33" s="267"/>
      <c r="N33" s="267"/>
      <c r="O33" s="267"/>
      <c r="P33" s="219"/>
      <c r="Q33" s="268"/>
      <c r="R33" s="216" t="str">
        <f ca="1">IF(ISERROR($V33),"",OFFSET('Smelter Look-up'!$C$4,$V33-4,0)&amp;"")</f>
        <v>Gejiu Non-Ferrous Metal Processing Co., Ltd.</v>
      </c>
      <c r="S33" s="224" t="str">
        <f t="shared" ca="1" si="0"/>
        <v>CN</v>
      </c>
      <c r="T33" s="224" t="str">
        <f ca="1">IF(B33="","",IF(ISERROR(MATCH($J33,SorP!$B$1:$B$6230,0)),"",INDIRECT("'SorP'!$A$"&amp;MATCH($J33,SorP!$B$1:$B$6230,0))))</f>
        <v>CN-YN</v>
      </c>
      <c r="U33" s="239"/>
      <c r="V33" s="269">
        <f ca="1">IF(C33="",NA(),MATCH($B33&amp;$C33,'Smelter Look-up'!$J:$J,0))</f>
        <v>393</v>
      </c>
      <c r="W33" s="270"/>
      <c r="X33" s="270">
        <f t="shared" ca="1" si="1"/>
        <v>0</v>
      </c>
      <c r="Y33" s="270"/>
      <c r="Z33" s="270"/>
      <c r="AB33" s="272" t="str">
        <f t="shared" ca="1" si="2"/>
        <v>TinGejiu Non-Ferrous Metal Processing Co., Ltd.</v>
      </c>
    </row>
    <row r="34" spans="1:28" s="271" customFormat="1" ht="89.25">
      <c r="A34" s="215" t="s">
        <v>869</v>
      </c>
      <c r="B34" s="216" t="str">
        <f ca="1">IF(LEN(A34)=0,"",INDEX('Smelter Look-up'!$A:$A,MATCH($A34,'Smelter Look-up'!$E:$E,0)))</f>
        <v>Tin</v>
      </c>
      <c r="C34" s="220" t="str">
        <f ca="1">IF(LEN(A34)=0,"",INDEX('Smelter Look-up'!$C:$C,MATCH($A34,'Smelter Look-up'!$E:$E,0)))</f>
        <v>Gejiu Kai Meng Industry and Trade LLC</v>
      </c>
      <c r="D34" s="216"/>
      <c r="E34" s="216" t="str">
        <f ca="1">IF(ISERROR($V34),"",OFFSET('Smelter Look-up'!$D$4,$V34-4,0)&amp;"")</f>
        <v>CHINA</v>
      </c>
      <c r="F34" s="216" t="str">
        <f ca="1">IF(ISERROR($V34),"",OFFSET('Smelter Look-up'!$E$4,$V34-4,0))</f>
        <v>CID000942</v>
      </c>
      <c r="G34" s="216" t="str">
        <f ca="1">IF(C34=$X$4,"Enter smelter details", IF(ISERROR($V34),"",OFFSET('Smelter Look-up'!$F$4,$V34-4,0)))</f>
        <v>RMI</v>
      </c>
      <c r="H34" s="217">
        <f ca="1">IF(ISERROR($V34),"",OFFSET('Smelter Look-up'!$G$4,$V34-4,0))</f>
        <v>0</v>
      </c>
      <c r="I34" s="218" t="str">
        <f ca="1">IF(ISERROR($V34),"",OFFSET('Smelter Look-up'!$H$4,$V34-4,0))</f>
        <v>Gejiu</v>
      </c>
      <c r="J34" s="218" t="str">
        <f ca="1">IF(ISERROR($V34),"",OFFSET('Smelter Look-up'!$I$4,$V34-4,0))</f>
        <v>Yunnan Sheng</v>
      </c>
      <c r="K34" s="267"/>
      <c r="L34" s="267"/>
      <c r="M34" s="267"/>
      <c r="N34" s="267"/>
      <c r="O34" s="267"/>
      <c r="P34" s="219"/>
      <c r="Q34" s="268"/>
      <c r="R34" s="216" t="str">
        <f ca="1">IF(ISERROR($V34),"",OFFSET('Smelter Look-up'!$C$4,$V34-4,0)&amp;"")</f>
        <v>Gejiu Kai Meng Industry and Trade LLC</v>
      </c>
      <c r="S34" s="224" t="str">
        <f t="shared" ca="1" si="0"/>
        <v>CN</v>
      </c>
      <c r="T34" s="224" t="str">
        <f ca="1">IF(B34="","",IF(ISERROR(MATCH($J34,SorP!$B$1:$B$6230,0)),"",INDIRECT("'SorP'!$A$"&amp;MATCH($J34,SorP!$B$1:$B$6230,0))))</f>
        <v>CN-YN</v>
      </c>
      <c r="U34" s="239"/>
      <c r="V34" s="269">
        <f ca="1">IF(C34="",NA(),MATCH($B34&amp;$C34,'Smelter Look-up'!$J:$J,0))</f>
        <v>392</v>
      </c>
      <c r="W34" s="270"/>
      <c r="X34" s="270">
        <f t="shared" ca="1" si="1"/>
        <v>0</v>
      </c>
      <c r="Y34" s="270"/>
      <c r="Z34" s="270"/>
      <c r="AB34" s="272" t="str">
        <f t="shared" ca="1" si="2"/>
        <v>TinGejiu Kai Meng Industry and Trade LLC</v>
      </c>
    </row>
    <row r="35" spans="1:28" s="271" customFormat="1" ht="51">
      <c r="A35" s="215" t="s">
        <v>2032</v>
      </c>
      <c r="B35" s="216" t="str">
        <f ca="1">IF(LEN(A35)=0,"",INDEX('Smelter Look-up'!$A:$A,MATCH($A35,'Smelter Look-up'!$E:$E,0)))</f>
        <v>Tin</v>
      </c>
      <c r="C35" s="220" t="str">
        <f ca="1">IF(LEN(A35)=0,"",INDEX('Smelter Look-up'!$C:$C,MATCH($A35,'Smelter Look-up'!$E:$E,0)))</f>
        <v>Metallic Resources, Inc.</v>
      </c>
      <c r="D35" s="216"/>
      <c r="E35" s="216" t="str">
        <f ca="1">IF(ISERROR($V35),"",OFFSET('Smelter Look-up'!$D$4,$V35-4,0)&amp;"")</f>
        <v>UNITED STATES OF AMERICA</v>
      </c>
      <c r="F35" s="216" t="str">
        <f ca="1">IF(ISERROR($V35),"",OFFSET('Smelter Look-up'!$E$4,$V35-4,0))</f>
        <v>CID001142</v>
      </c>
      <c r="G35" s="216" t="str">
        <f ca="1">IF(C35=$X$4,"Enter smelter details", IF(ISERROR($V35),"",OFFSET('Smelter Look-up'!$F$4,$V35-4,0)))</f>
        <v>RMI</v>
      </c>
      <c r="H35" s="217">
        <f ca="1">IF(ISERROR($V35),"",OFFSET('Smelter Look-up'!$G$4,$V35-4,0))</f>
        <v>0</v>
      </c>
      <c r="I35" s="218" t="str">
        <f ca="1">IF(ISERROR($V35),"",OFFSET('Smelter Look-up'!$H$4,$V35-4,0))</f>
        <v>Twinsburg</v>
      </c>
      <c r="J35" s="218" t="str">
        <f ca="1">IF(ISERROR($V35),"",OFFSET('Smelter Look-up'!$I$4,$V35-4,0))</f>
        <v>Ohio</v>
      </c>
      <c r="K35" s="267"/>
      <c r="L35" s="267"/>
      <c r="M35" s="267"/>
      <c r="N35" s="267"/>
      <c r="O35" s="267"/>
      <c r="P35" s="219"/>
      <c r="Q35" s="268"/>
      <c r="R35" s="216" t="str">
        <f ca="1">IF(ISERROR($V35),"",OFFSET('Smelter Look-up'!$C$4,$V35-4,0)&amp;"")</f>
        <v>Metallic Resources, Inc.</v>
      </c>
      <c r="S35" s="224" t="str">
        <f t="shared" ca="1" si="0"/>
        <v>US</v>
      </c>
      <c r="T35" s="224" t="str">
        <f ca="1">IF(B35="","",IF(ISERROR(MATCH($J35,SorP!$B$1:$B$6230,0)),"",INDIRECT("'SorP'!$A$"&amp;MATCH($J35,SorP!$B$1:$B$6230,0))))</f>
        <v>US-OH</v>
      </c>
      <c r="U35" s="239"/>
      <c r="V35" s="269">
        <f ca="1">IF(C35="",NA(),MATCH($B35&amp;$C35,'Smelter Look-up'!$J:$J,0))</f>
        <v>422</v>
      </c>
      <c r="W35" s="270"/>
      <c r="X35" s="270">
        <f t="shared" ca="1" si="1"/>
        <v>0</v>
      </c>
      <c r="Y35" s="270"/>
      <c r="Z35" s="270"/>
      <c r="AB35" s="272" t="str">
        <f t="shared" ca="1" si="2"/>
        <v>TinMetallic Resources, Inc.</v>
      </c>
    </row>
    <row r="36" spans="1:28" s="271" customFormat="1" ht="51">
      <c r="A36" s="215" t="s">
        <v>872</v>
      </c>
      <c r="B36" s="216" t="str">
        <f ca="1">IF(LEN(A36)=0,"",INDEX('Smelter Look-up'!$A:$A,MATCH($A36,'Smelter Look-up'!$E:$E,0)))</f>
        <v>Tin</v>
      </c>
      <c r="C36" s="220" t="str">
        <f ca="1">IF(LEN(A36)=0,"",INDEX('Smelter Look-up'!$C:$C,MATCH($A36,'Smelter Look-up'!$E:$E,0)))</f>
        <v>Mineracao Taboca S.A.</v>
      </c>
      <c r="D36" s="216"/>
      <c r="E36" s="216" t="str">
        <f ca="1">IF(ISERROR($V36),"",OFFSET('Smelter Look-up'!$D$4,$V36-4,0)&amp;"")</f>
        <v>BRAZIL</v>
      </c>
      <c r="F36" s="216" t="str">
        <f ca="1">IF(ISERROR($V36),"",OFFSET('Smelter Look-up'!$E$4,$V36-4,0))</f>
        <v>CID001173</v>
      </c>
      <c r="G36" s="216" t="str">
        <f ca="1">IF(C36=$X$4,"Enter smelter details", IF(ISERROR($V36),"",OFFSET('Smelter Look-up'!$F$4,$V36-4,0)))</f>
        <v>RMI</v>
      </c>
      <c r="H36" s="217">
        <f ca="1">IF(ISERROR($V36),"",OFFSET('Smelter Look-up'!$G$4,$V36-4,0))</f>
        <v>0</v>
      </c>
      <c r="I36" s="218" t="str">
        <f ca="1">IF(ISERROR($V36),"",OFFSET('Smelter Look-up'!$H$4,$V36-4,0))</f>
        <v>Bairro Guarapiranga</v>
      </c>
      <c r="J36" s="218" t="str">
        <f ca="1">IF(ISERROR($V36),"",OFFSET('Smelter Look-up'!$I$4,$V36-4,0))</f>
        <v>São Paulo</v>
      </c>
      <c r="K36" s="267"/>
      <c r="L36" s="267"/>
      <c r="M36" s="267"/>
      <c r="N36" s="267"/>
      <c r="O36" s="267"/>
      <c r="P36" s="219"/>
      <c r="Q36" s="268"/>
      <c r="R36" s="216" t="str">
        <f ca="1">IF(ISERROR($V36),"",OFFSET('Smelter Look-up'!$C$4,$V36-4,0)&amp;"")</f>
        <v>Mineracao Taboca S.A.</v>
      </c>
      <c r="S36" s="224" t="str">
        <f t="shared" ca="1" si="0"/>
        <v>BR</v>
      </c>
      <c r="T36" s="224" t="str">
        <f ca="1">IF(B36="","",IF(ISERROR(MATCH($J36,SorP!$B$1:$B$6230,0)),"",INDIRECT("'SorP'!$A$"&amp;MATCH($J36,SorP!$B$1:$B$6230,0))))</f>
        <v>BR-SP</v>
      </c>
      <c r="U36" s="239"/>
      <c r="V36" s="269">
        <f ca="1">IF(C36="",NA(),MATCH($B36&amp;$C36,'Smelter Look-up'!$J:$J,0))</f>
        <v>425</v>
      </c>
      <c r="W36" s="270"/>
      <c r="X36" s="270">
        <f t="shared" ca="1" si="1"/>
        <v>0</v>
      </c>
      <c r="Y36" s="270"/>
      <c r="Z36" s="270"/>
      <c r="AB36" s="272" t="str">
        <f t="shared" ca="1" si="2"/>
        <v>TinMineracao Taboca S.A.</v>
      </c>
    </row>
    <row r="37" spans="1:28" s="271" customFormat="1" ht="25.5">
      <c r="A37" s="215" t="s">
        <v>873</v>
      </c>
      <c r="B37" s="216" t="str">
        <f ca="1">IF(LEN(A37)=0,"",INDEX('Smelter Look-up'!$A:$A,MATCH($A37,'Smelter Look-up'!$E:$E,0)))</f>
        <v>Tin</v>
      </c>
      <c r="C37" s="220" t="str">
        <f ca="1">IF(LEN(A37)=0,"",INDEX('Smelter Look-up'!$C:$C,MATCH($A37,'Smelter Look-up'!$E:$E,0)))</f>
        <v>Minsur</v>
      </c>
      <c r="D37" s="216"/>
      <c r="E37" s="216" t="str">
        <f ca="1">IF(ISERROR($V37),"",OFFSET('Smelter Look-up'!$D$4,$V37-4,0)&amp;"")</f>
        <v>PERU</v>
      </c>
      <c r="F37" s="216" t="str">
        <f ca="1">IF(ISERROR($V37),"",OFFSET('Smelter Look-up'!$E$4,$V37-4,0))</f>
        <v>CID001182</v>
      </c>
      <c r="G37" s="216" t="str">
        <f ca="1">IF(C37=$X$4,"Enter smelter details", IF(ISERROR($V37),"",OFFSET('Smelter Look-up'!$F$4,$V37-4,0)))</f>
        <v>RMI</v>
      </c>
      <c r="H37" s="217">
        <f ca="1">IF(ISERROR($V37),"",OFFSET('Smelter Look-up'!$G$4,$V37-4,0))</f>
        <v>0</v>
      </c>
      <c r="I37" s="218" t="str">
        <f ca="1">IF(ISERROR($V37),"",OFFSET('Smelter Look-up'!$H$4,$V37-4,0))</f>
        <v>Paracas</v>
      </c>
      <c r="J37" s="218" t="str">
        <f ca="1">IF(ISERROR($V37),"",OFFSET('Smelter Look-up'!$I$4,$V37-4,0))</f>
        <v>Ika</v>
      </c>
      <c r="K37" s="267"/>
      <c r="L37" s="267"/>
      <c r="M37" s="267"/>
      <c r="N37" s="267"/>
      <c r="O37" s="267"/>
      <c r="P37" s="219"/>
      <c r="Q37" s="268"/>
      <c r="R37" s="216" t="str">
        <f ca="1">IF(ISERROR($V37),"",OFFSET('Smelter Look-up'!$C$4,$V37-4,0)&amp;"")</f>
        <v>Minsur</v>
      </c>
      <c r="S37" s="224" t="str">
        <f t="shared" ca="1" si="0"/>
        <v>PE</v>
      </c>
      <c r="T37" s="224" t="str">
        <f ca="1">IF(B37="","",IF(ISERROR(MATCH($J37,SorP!$B$1:$B$6230,0)),"",INDIRECT("'SorP'!$A$"&amp;MATCH($J37,SorP!$B$1:$B$6230,0))))</f>
        <v>PE-ICA</v>
      </c>
      <c r="U37" s="239"/>
      <c r="V37" s="269">
        <f ca="1">IF(C37="",NA(),MATCH($B37&amp;$C37,'Smelter Look-up'!$J:$J,0))</f>
        <v>428</v>
      </c>
      <c r="W37" s="270"/>
      <c r="X37" s="270">
        <f t="shared" ca="1" si="1"/>
        <v>0</v>
      </c>
      <c r="Y37" s="270"/>
      <c r="Z37" s="270"/>
      <c r="AB37" s="272" t="str">
        <f t="shared" ca="1" si="2"/>
        <v>TinMinsur</v>
      </c>
    </row>
    <row r="38" spans="1:28" s="271" customFormat="1" ht="76.5">
      <c r="A38" s="215" t="s">
        <v>874</v>
      </c>
      <c r="B38" s="216" t="str">
        <f ca="1">IF(LEN(A38)=0,"",INDEX('Smelter Look-up'!$A:$A,MATCH($A38,'Smelter Look-up'!$E:$E,0)))</f>
        <v>Tin</v>
      </c>
      <c r="C38" s="220" t="str">
        <f ca="1">IF(LEN(A38)=0,"",INDEX('Smelter Look-up'!$C:$C,MATCH($A38,'Smelter Look-up'!$E:$E,0)))</f>
        <v>Mitsubishi Materials Corporation</v>
      </c>
      <c r="D38" s="216"/>
      <c r="E38" s="216" t="str">
        <f ca="1">IF(ISERROR($V38),"",OFFSET('Smelter Look-up'!$D$4,$V38-4,0)&amp;"")</f>
        <v>JAPAN</v>
      </c>
      <c r="F38" s="216" t="str">
        <f ca="1">IF(ISERROR($V38),"",OFFSET('Smelter Look-up'!$E$4,$V38-4,0))</f>
        <v>CID001191</v>
      </c>
      <c r="G38" s="216" t="str">
        <f ca="1">IF(C38=$X$4,"Enter smelter details", IF(ISERROR($V38),"",OFFSET('Smelter Look-up'!$F$4,$V38-4,0)))</f>
        <v>RMI</v>
      </c>
      <c r="H38" s="217">
        <f ca="1">IF(ISERROR($V38),"",OFFSET('Smelter Look-up'!$G$4,$V38-4,0))</f>
        <v>0</v>
      </c>
      <c r="I38" s="218" t="str">
        <f ca="1">IF(ISERROR($V38),"",OFFSET('Smelter Look-up'!$H$4,$V38-4,0))</f>
        <v>Asago</v>
      </c>
      <c r="J38" s="218" t="str">
        <f ca="1">IF(ISERROR($V38),"",OFFSET('Smelter Look-up'!$I$4,$V38-4,0))</f>
        <v>Hyogo</v>
      </c>
      <c r="K38" s="267"/>
      <c r="L38" s="267"/>
      <c r="M38" s="267"/>
      <c r="N38" s="267"/>
      <c r="O38" s="267"/>
      <c r="P38" s="219"/>
      <c r="Q38" s="268"/>
      <c r="R38" s="216" t="str">
        <f ca="1">IF(ISERROR($V38),"",OFFSET('Smelter Look-up'!$C$4,$V38-4,0)&amp;"")</f>
        <v>Mitsubishi Materials Corporation</v>
      </c>
      <c r="S38" s="224" t="str">
        <f t="shared" ca="1" si="0"/>
        <v>JP</v>
      </c>
      <c r="T38" s="224" t="str">
        <f ca="1">IF(B38="","",IF(ISERROR(MATCH($J38,SorP!$B$1:$B$6230,0)),"",INDIRECT("'SorP'!$A$"&amp;MATCH($J38,SorP!$B$1:$B$6230,0))))</f>
        <v>JP-28</v>
      </c>
      <c r="U38" s="239"/>
      <c r="V38" s="269">
        <f ca="1">IF(C38="",NA(),MATCH($B38&amp;$C38,'Smelter Look-up'!$J:$J,0))</f>
        <v>429</v>
      </c>
      <c r="W38" s="270"/>
      <c r="X38" s="270">
        <f t="shared" ca="1" si="1"/>
        <v>0</v>
      </c>
      <c r="Y38" s="270"/>
      <c r="Z38" s="270"/>
      <c r="AB38" s="272" t="str">
        <f t="shared" ca="1" si="2"/>
        <v>TinMitsubishi Materials Corporation</v>
      </c>
    </row>
    <row r="39" spans="1:28" s="271" customFormat="1" ht="63.75">
      <c r="A39" s="215" t="s">
        <v>877</v>
      </c>
      <c r="B39" s="216" t="str">
        <f ca="1">IF(LEN(A39)=0,"",INDEX('Smelter Look-up'!$A:$A,MATCH($A39,'Smelter Look-up'!$E:$E,0)))</f>
        <v>Tin</v>
      </c>
      <c r="C39" s="220" t="str">
        <f ca="1">IF(LEN(A39)=0,"",INDEX('Smelter Look-up'!$C:$C,MATCH($A39,'Smelter Look-up'!$E:$E,0)))</f>
        <v>Operaciones Metalurgicas S.A.</v>
      </c>
      <c r="D39" s="216"/>
      <c r="E39" s="216" t="str">
        <f ca="1">IF(ISERROR($V39),"",OFFSET('Smelter Look-up'!$D$4,$V39-4,0)&amp;"")</f>
        <v>BOLIVIA (PLURINATIONAL STATE OF)</v>
      </c>
      <c r="F39" s="216" t="str">
        <f ca="1">IF(ISERROR($V39),"",OFFSET('Smelter Look-up'!$E$4,$V39-4,0))</f>
        <v>CID001337</v>
      </c>
      <c r="G39" s="216" t="str">
        <f ca="1">IF(C39=$X$4,"Enter smelter details", IF(ISERROR($V39),"",OFFSET('Smelter Look-up'!$F$4,$V39-4,0)))</f>
        <v>RMI</v>
      </c>
      <c r="H39" s="217">
        <f ca="1">IF(ISERROR($V39),"",OFFSET('Smelter Look-up'!$G$4,$V39-4,0))</f>
        <v>0</v>
      </c>
      <c r="I39" s="218" t="str">
        <f ca="1">IF(ISERROR($V39),"",OFFSET('Smelter Look-up'!$H$4,$V39-4,0))</f>
        <v>Oruro</v>
      </c>
      <c r="J39" s="218" t="str">
        <f ca="1">IF(ISERROR($V39),"",OFFSET('Smelter Look-up'!$I$4,$V39-4,0))</f>
        <v>Oruro</v>
      </c>
      <c r="K39" s="267"/>
      <c r="L39" s="267"/>
      <c r="M39" s="267"/>
      <c r="N39" s="267"/>
      <c r="O39" s="267"/>
      <c r="P39" s="219"/>
      <c r="Q39" s="268"/>
      <c r="R39" s="216" t="str">
        <f ca="1">IF(ISERROR($V39),"",OFFSET('Smelter Look-up'!$C$4,$V39-4,0)&amp;"")</f>
        <v>Operaciones Metalurgicas S.A.</v>
      </c>
      <c r="S39" s="224" t="str">
        <f t="shared" ca="1" si="0"/>
        <v>BO</v>
      </c>
      <c r="T39" s="224" t="str">
        <f ca="1">IF(B39="","",IF(ISERROR(MATCH($J39,SorP!$B$1:$B$6230,0)),"",INDIRECT("'SorP'!$A$"&amp;MATCH($J39,SorP!$B$1:$B$6230,0))))</f>
        <v>BO-O</v>
      </c>
      <c r="U39" s="239"/>
      <c r="V39" s="269">
        <f ca="1">IF(C39="",NA(),MATCH($B39&amp;$C39,'Smelter Look-up'!$J:$J,0))</f>
        <v>438</v>
      </c>
      <c r="W39" s="270"/>
      <c r="X39" s="270">
        <f t="shared" ca="1" si="1"/>
        <v>0</v>
      </c>
      <c r="Y39" s="270"/>
      <c r="Z39" s="270"/>
      <c r="AB39" s="272" t="str">
        <f t="shared" ca="1" si="2"/>
        <v>TinOperaciones Metalurgicas S.A.</v>
      </c>
    </row>
    <row r="40" spans="1:28" s="271" customFormat="1" ht="38.25">
      <c r="A40" s="215" t="s">
        <v>883</v>
      </c>
      <c r="B40" s="216" t="str">
        <f ca="1">IF(LEN(A40)=0,"",INDEX('Smelter Look-up'!$A:$A,MATCH($A40,'Smelter Look-up'!$E:$E,0)))</f>
        <v>Tin</v>
      </c>
      <c r="C40" s="220" t="str">
        <f ca="1">IF(LEN(A40)=0,"",INDEX('Smelter Look-up'!$C:$C,MATCH($A40,'Smelter Look-up'!$E:$E,0)))</f>
        <v>PT DS Jaya Abadi</v>
      </c>
      <c r="D40" s="216"/>
      <c r="E40" s="216" t="str">
        <f ca="1">IF(ISERROR($V40),"",OFFSET('Smelter Look-up'!$D$4,$V40-4,0)&amp;"")</f>
        <v>INDONESIA</v>
      </c>
      <c r="F40" s="216" t="str">
        <f ca="1">IF(ISERROR($V40),"",OFFSET('Smelter Look-up'!$E$4,$V40-4,0))</f>
        <v>CID001434</v>
      </c>
      <c r="G40" s="216" t="str">
        <f ca="1">IF(C40=$X$4,"Enter smelter details", IF(ISERROR($V40),"",OFFSET('Smelter Look-up'!$F$4,$V40-4,0)))</f>
        <v>RMI</v>
      </c>
      <c r="H40" s="217">
        <f ca="1">IF(ISERROR($V40),"",OFFSET('Smelter Look-up'!$G$4,$V40-4,0))</f>
        <v>0</v>
      </c>
      <c r="I40" s="218" t="str">
        <f ca="1">IF(ISERROR($V40),"",OFFSET('Smelter Look-up'!$H$4,$V40-4,0))</f>
        <v>Pangkal Pinang</v>
      </c>
      <c r="J40" s="218" t="str">
        <f ca="1">IF(ISERROR($V40),"",OFFSET('Smelter Look-up'!$I$4,$V40-4,0))</f>
        <v>Kepulauan Bangka Belitung</v>
      </c>
      <c r="K40" s="267"/>
      <c r="L40" s="267"/>
      <c r="M40" s="267"/>
      <c r="N40" s="267"/>
      <c r="O40" s="267"/>
      <c r="P40" s="219"/>
      <c r="Q40" s="268"/>
      <c r="R40" s="216" t="str">
        <f ca="1">IF(ISERROR($V40),"",OFFSET('Smelter Look-up'!$C$4,$V40-4,0)&amp;"")</f>
        <v>PT DS Jaya Abadi</v>
      </c>
      <c r="S40" s="224" t="str">
        <f t="shared" ca="1" si="0"/>
        <v>ID</v>
      </c>
      <c r="T40" s="224" t="str">
        <f ca="1">IF(B40="","",IF(ISERROR(MATCH($J40,SorP!$B$1:$B$6230,0)),"",INDIRECT("'SorP'!$A$"&amp;MATCH($J40,SorP!$B$1:$B$6230,0))))</f>
        <v>ID-BB</v>
      </c>
      <c r="U40" s="239"/>
      <c r="V40" s="269">
        <f ca="1">IF(C40="",NA(),MATCH($B40&amp;$C40,'Smelter Look-up'!$J:$J,0))</f>
        <v>453</v>
      </c>
      <c r="W40" s="270"/>
      <c r="X40" s="270">
        <f t="shared" ca="1" si="1"/>
        <v>0</v>
      </c>
      <c r="Y40" s="270"/>
      <c r="Z40" s="270"/>
      <c r="AB40" s="272" t="str">
        <f t="shared" ca="1" si="2"/>
        <v>TinPT DS Jaya Abadi</v>
      </c>
    </row>
    <row r="41" spans="1:28" s="271" customFormat="1" ht="51">
      <c r="A41" s="215" t="s">
        <v>914</v>
      </c>
      <c r="B41" s="216" t="str">
        <f ca="1">IF(LEN(A41)=0,"",INDEX('Smelter Look-up'!$A:$A,MATCH($A41,'Smelter Look-up'!$E:$E,0)))</f>
        <v>Tin</v>
      </c>
      <c r="C41" s="220" t="str">
        <f ca="1">IF(LEN(A41)=0,"",INDEX('Smelter Look-up'!$C:$C,MATCH($A41,'Smelter Look-up'!$E:$E,0)))</f>
        <v>PT Timah Tbk Kundur</v>
      </c>
      <c r="D41" s="216"/>
      <c r="E41" s="216" t="str">
        <f ca="1">IF(ISERROR($V41),"",OFFSET('Smelter Look-up'!$D$4,$V41-4,0)&amp;"")</f>
        <v>INDONESIA</v>
      </c>
      <c r="F41" s="216" t="str">
        <f ca="1">IF(ISERROR($V41),"",OFFSET('Smelter Look-up'!$E$4,$V41-4,0))</f>
        <v>CID001477</v>
      </c>
      <c r="G41" s="216" t="str">
        <f ca="1">IF(C41=$X$4,"Enter smelter details", IF(ISERROR($V41),"",OFFSET('Smelter Look-up'!$F$4,$V41-4,0)))</f>
        <v>RMI</v>
      </c>
      <c r="H41" s="217">
        <f ca="1">IF(ISERROR($V41),"",OFFSET('Smelter Look-up'!$G$4,$V41-4,0))</f>
        <v>0</v>
      </c>
      <c r="I41" s="218" t="str">
        <f ca="1">IF(ISERROR($V41),"",OFFSET('Smelter Look-up'!$H$4,$V41-4,0))</f>
        <v>Kundur</v>
      </c>
      <c r="J41" s="218" t="str">
        <f ca="1">IF(ISERROR($V41),"",OFFSET('Smelter Look-up'!$I$4,$V41-4,0))</f>
        <v>Riau</v>
      </c>
      <c r="K41" s="267"/>
      <c r="L41" s="267"/>
      <c r="M41" s="267"/>
      <c r="N41" s="267"/>
      <c r="O41" s="267"/>
      <c r="P41" s="219"/>
      <c r="Q41" s="268"/>
      <c r="R41" s="216" t="str">
        <f ca="1">IF(ISERROR($V41),"",OFFSET('Smelter Look-up'!$C$4,$V41-4,0)&amp;"")</f>
        <v>PT Timah Tbk Kundur</v>
      </c>
      <c r="S41" s="224" t="str">
        <f t="shared" ca="1" si="0"/>
        <v>ID</v>
      </c>
      <c r="T41" s="224" t="str">
        <f ca="1">IF(B41="","",IF(ISERROR(MATCH($J41,SorP!$B$1:$B$6230,0)),"",INDIRECT("'SorP'!$A$"&amp;MATCH($J41,SorP!$B$1:$B$6230,0))))</f>
        <v>ID-RI</v>
      </c>
      <c r="U41" s="239"/>
      <c r="V41" s="269">
        <f ca="1">IF(C41="",NA(),MATCH($B41&amp;$C41,'Smelter Look-up'!$J:$J,0))</f>
        <v>472</v>
      </c>
      <c r="W41" s="270"/>
      <c r="X41" s="270">
        <f t="shared" ca="1" si="1"/>
        <v>0</v>
      </c>
      <c r="Y41" s="270"/>
      <c r="Z41" s="270"/>
      <c r="AB41" s="272" t="str">
        <f t="shared" ca="1" si="2"/>
        <v>TinPT Timah Tbk Kundur</v>
      </c>
    </row>
    <row r="42" spans="1:28" s="271" customFormat="1" ht="51">
      <c r="A42" s="215" t="s">
        <v>891</v>
      </c>
      <c r="B42" s="216" t="str">
        <f ca="1">IF(LEN(A42)=0,"",INDEX('Smelter Look-up'!$A:$A,MATCH($A42,'Smelter Look-up'!$E:$E,0)))</f>
        <v>Tin</v>
      </c>
      <c r="C42" s="220" t="str">
        <f ca="1">IF(LEN(A42)=0,"",INDEX('Smelter Look-up'!$C:$C,MATCH($A42,'Smelter Look-up'!$E:$E,0)))</f>
        <v>PT Timah Tbk Mentok</v>
      </c>
      <c r="D42" s="216"/>
      <c r="E42" s="216" t="str">
        <f ca="1">IF(ISERROR($V42),"",OFFSET('Smelter Look-up'!$D$4,$V42-4,0)&amp;"")</f>
        <v>INDONESIA</v>
      </c>
      <c r="F42" s="216" t="str">
        <f ca="1">IF(ISERROR($V42),"",OFFSET('Smelter Look-up'!$E$4,$V42-4,0))</f>
        <v>CID001482</v>
      </c>
      <c r="G42" s="216" t="str">
        <f ca="1">IF(C42=$X$4,"Enter smelter details", IF(ISERROR($V42),"",OFFSET('Smelter Look-up'!$F$4,$V42-4,0)))</f>
        <v>RMI</v>
      </c>
      <c r="H42" s="217">
        <f ca="1">IF(ISERROR($V42),"",OFFSET('Smelter Look-up'!$G$4,$V42-4,0))</f>
        <v>0</v>
      </c>
      <c r="I42" s="218" t="str">
        <f ca="1">IF(ISERROR($V42),"",OFFSET('Smelter Look-up'!$H$4,$V42-4,0))</f>
        <v>Mentok</v>
      </c>
      <c r="J42" s="218" t="str">
        <f ca="1">IF(ISERROR($V42),"",OFFSET('Smelter Look-up'!$I$4,$V42-4,0))</f>
        <v>Kepulauan Bangka Belitung</v>
      </c>
      <c r="K42" s="267"/>
      <c r="L42" s="267"/>
      <c r="M42" s="267"/>
      <c r="N42" s="267"/>
      <c r="O42" s="267"/>
      <c r="P42" s="219"/>
      <c r="Q42" s="268"/>
      <c r="R42" s="216" t="str">
        <f ca="1">IF(ISERROR($V42),"",OFFSET('Smelter Look-up'!$C$4,$V42-4,0)&amp;"")</f>
        <v>PT Timah Tbk Mentok</v>
      </c>
      <c r="S42" s="224" t="str">
        <f t="shared" ca="1" si="0"/>
        <v>ID</v>
      </c>
      <c r="T42" s="224" t="str">
        <f ca="1">IF(B42="","",IF(ISERROR(MATCH($J42,SorP!$B$1:$B$6230,0)),"",INDIRECT("'SorP'!$A$"&amp;MATCH($J42,SorP!$B$1:$B$6230,0))))</f>
        <v>ID-BB</v>
      </c>
      <c r="U42" s="239"/>
      <c r="V42" s="269">
        <f ca="1">IF(C42="",NA(),MATCH($B42&amp;$C42,'Smelter Look-up'!$J:$J,0))</f>
        <v>473</v>
      </c>
      <c r="W42" s="270"/>
      <c r="X42" s="270">
        <f t="shared" ca="1" si="1"/>
        <v>0</v>
      </c>
      <c r="Y42" s="270"/>
      <c r="Z42" s="270"/>
      <c r="AB42" s="272" t="str">
        <f t="shared" ca="1" si="2"/>
        <v>TinPT Timah Tbk Mentok</v>
      </c>
    </row>
    <row r="43" spans="1:28" s="271" customFormat="1" ht="76.5">
      <c r="A43" s="215" t="s">
        <v>897</v>
      </c>
      <c r="B43" s="216" t="str">
        <f ca="1">IF(LEN(A43)=0,"",INDEX('Smelter Look-up'!$A:$A,MATCH($A43,'Smelter Look-up'!$E:$E,0)))</f>
        <v>Tin</v>
      </c>
      <c r="C43" s="220" t="str">
        <f ca="1">IF(LEN(A43)=0,"",INDEX('Smelter Look-up'!$C:$C,MATCH($A43,'Smelter Look-up'!$E:$E,0)))</f>
        <v>White Solder Metalurgia e Mineracao Ltda.</v>
      </c>
      <c r="D43" s="216"/>
      <c r="E43" s="216" t="str">
        <f ca="1">IF(ISERROR($V43),"",OFFSET('Smelter Look-up'!$D$4,$V43-4,0)&amp;"")</f>
        <v>BRAZIL</v>
      </c>
      <c r="F43" s="216" t="str">
        <f ca="1">IF(ISERROR($V43),"",OFFSET('Smelter Look-up'!$E$4,$V43-4,0))</f>
        <v>CID002036</v>
      </c>
      <c r="G43" s="216" t="str">
        <f ca="1">IF(C43=$X$4,"Enter smelter details", IF(ISERROR($V43),"",OFFSET('Smelter Look-up'!$F$4,$V43-4,0)))</f>
        <v>RMI</v>
      </c>
      <c r="H43" s="217">
        <f ca="1">IF(ISERROR($V43),"",OFFSET('Smelter Look-up'!$G$4,$V43-4,0))</f>
        <v>0</v>
      </c>
      <c r="I43" s="218" t="str">
        <f ca="1">IF(ISERROR($V43),"",OFFSET('Smelter Look-up'!$H$4,$V43-4,0))</f>
        <v>Ariquemes</v>
      </c>
      <c r="J43" s="218" t="str">
        <f ca="1">IF(ISERROR($V43),"",OFFSET('Smelter Look-up'!$I$4,$V43-4,0))</f>
        <v>Rondônia</v>
      </c>
      <c r="K43" s="267"/>
      <c r="L43" s="267"/>
      <c r="M43" s="267"/>
      <c r="N43" s="267"/>
      <c r="O43" s="267"/>
      <c r="P43" s="219"/>
      <c r="Q43" s="268"/>
      <c r="R43" s="216" t="str">
        <f ca="1">IF(ISERROR($V43),"",OFFSET('Smelter Look-up'!$C$4,$V43-4,0)&amp;"")</f>
        <v>White Solder Metalurgia e Mineracao Ltda.</v>
      </c>
      <c r="S43" s="224" t="str">
        <f t="shared" ca="1" si="0"/>
        <v>BR</v>
      </c>
      <c r="T43" s="224" t="str">
        <f ca="1">IF(B43="","",IF(ISERROR(MATCH($J43,SorP!$B$1:$B$6230,0)),"",INDIRECT("'SorP'!$A$"&amp;MATCH($J43,SorP!$B$1:$B$6230,0))))</f>
        <v>BR-RO</v>
      </c>
      <c r="U43" s="239"/>
      <c r="V43" s="269">
        <f ca="1">IF(C43="",NA(),MATCH($B43&amp;$C43,'Smelter Look-up'!$J:$J,0))</f>
        <v>495</v>
      </c>
      <c r="W43" s="270"/>
      <c r="X43" s="270">
        <f t="shared" ca="1" si="1"/>
        <v>0</v>
      </c>
      <c r="Y43" s="270"/>
      <c r="Z43" s="270"/>
      <c r="AB43" s="272" t="str">
        <f t="shared" ca="1" si="2"/>
        <v>TinWhite Solder Metalurgia e Mineracao Ltda.</v>
      </c>
    </row>
    <row r="44" spans="1:28" s="271" customFormat="1" ht="102">
      <c r="A44" s="215" t="s">
        <v>898</v>
      </c>
      <c r="B44" s="216" t="str">
        <f ca="1">IF(LEN(A44)=0,"",INDEX('Smelter Look-up'!$A:$A,MATCH($A44,'Smelter Look-up'!$E:$E,0)))</f>
        <v>Tin</v>
      </c>
      <c r="C44" s="220" t="str">
        <f ca="1">IF(LEN(A44)=0,"",INDEX('Smelter Look-up'!$C:$C,MATCH($A44,'Smelter Look-up'!$E:$E,0)))</f>
        <v>Yunnan Chengfeng Non-ferrous Metals Co., Ltd.</v>
      </c>
      <c r="D44" s="216"/>
      <c r="E44" s="216" t="str">
        <f ca="1">IF(ISERROR($V44),"",OFFSET('Smelter Look-up'!$D$4,$V44-4,0)&amp;"")</f>
        <v>CHINA</v>
      </c>
      <c r="F44" s="216" t="str">
        <f ca="1">IF(ISERROR($V44),"",OFFSET('Smelter Look-up'!$E$4,$V44-4,0))</f>
        <v>CID002158</v>
      </c>
      <c r="G44" s="216" t="str">
        <f ca="1">IF(C44=$X$4,"Enter smelter details", IF(ISERROR($V44),"",OFFSET('Smelter Look-up'!$F$4,$V44-4,0)))</f>
        <v>RMI</v>
      </c>
      <c r="H44" s="217">
        <f ca="1">IF(ISERROR($V44),"",OFFSET('Smelter Look-up'!$G$4,$V44-4,0))</f>
        <v>0</v>
      </c>
      <c r="I44" s="218" t="str">
        <f ca="1">IF(ISERROR($V44),"",OFFSET('Smelter Look-up'!$H$4,$V44-4,0))</f>
        <v>Gejiu</v>
      </c>
      <c r="J44" s="218" t="str">
        <f ca="1">IF(ISERROR($V44),"",OFFSET('Smelter Look-up'!$I$4,$V44-4,0))</f>
        <v>Yunnan Sheng</v>
      </c>
      <c r="K44" s="267"/>
      <c r="L44" s="267"/>
      <c r="M44" s="267"/>
      <c r="N44" s="267"/>
      <c r="O44" s="267"/>
      <c r="P44" s="219"/>
      <c r="Q44" s="268"/>
      <c r="R44" s="216" t="str">
        <f ca="1">IF(ISERROR($V44),"",OFFSET('Smelter Look-up'!$C$4,$V44-4,0)&amp;"")</f>
        <v>Yunnan Chengfeng Non-ferrous Metals Co., Ltd.</v>
      </c>
      <c r="S44" s="224" t="str">
        <f t="shared" ca="1" si="0"/>
        <v>CN</v>
      </c>
      <c r="T44" s="224" t="str">
        <f ca="1">IF(B44="","",IF(ISERROR(MATCH($J44,SorP!$B$1:$B$6230,0)),"",INDIRECT("'SorP'!$A$"&amp;MATCH($J44,SorP!$B$1:$B$6230,0))))</f>
        <v>CN-YN</v>
      </c>
      <c r="U44" s="239"/>
      <c r="V44" s="269">
        <f ca="1">IF(C44="",NA(),MATCH($B44&amp;$C44,'Smelter Look-up'!$J:$J,0))</f>
        <v>503</v>
      </c>
      <c r="W44" s="270"/>
      <c r="X44" s="270">
        <f t="shared" ca="1" si="1"/>
        <v>0</v>
      </c>
      <c r="Y44" s="270"/>
      <c r="Z44" s="270"/>
      <c r="AB44" s="272" t="str">
        <f t="shared" ca="1" si="2"/>
        <v>TinYunnan Chengfeng Non-ferrous Metals Co., Ltd.</v>
      </c>
    </row>
    <row r="45" spans="1:28" s="271" customFormat="1" ht="63.75">
      <c r="A45" s="215" t="s">
        <v>899</v>
      </c>
      <c r="B45" s="216" t="str">
        <f ca="1">IF(LEN(A45)=0,"",INDEX('Smelter Look-up'!$A:$A,MATCH($A45,'Smelter Look-up'!$E:$E,0)))</f>
        <v>Tin</v>
      </c>
      <c r="C45" s="220" t="str">
        <f ca="1">IF(LEN(A45)=0,"",INDEX('Smelter Look-up'!$C:$C,MATCH($A45,'Smelter Look-up'!$E:$E,0)))</f>
        <v>Yunnan Tin Company Limited</v>
      </c>
      <c r="D45" s="216"/>
      <c r="E45" s="216" t="str">
        <f ca="1">IF(ISERROR($V45),"",OFFSET('Smelter Look-up'!$D$4,$V45-4,0)&amp;"")</f>
        <v>CHINA</v>
      </c>
      <c r="F45" s="216" t="str">
        <f ca="1">IF(ISERROR($V45),"",OFFSET('Smelter Look-up'!$E$4,$V45-4,0))</f>
        <v>CID002180</v>
      </c>
      <c r="G45" s="216" t="str">
        <f ca="1">IF(C45=$X$4,"Enter smelter details", IF(ISERROR($V45),"",OFFSET('Smelter Look-up'!$F$4,$V45-4,0)))</f>
        <v>RMI</v>
      </c>
      <c r="H45" s="217">
        <f ca="1">IF(ISERROR($V45),"",OFFSET('Smelter Look-up'!$G$4,$V45-4,0))</f>
        <v>0</v>
      </c>
      <c r="I45" s="218" t="str">
        <f ca="1">IF(ISERROR($V45),"",OFFSET('Smelter Look-up'!$H$4,$V45-4,0))</f>
        <v>Gejiu</v>
      </c>
      <c r="J45" s="218" t="str">
        <f ca="1">IF(ISERROR($V45),"",OFFSET('Smelter Look-up'!$I$4,$V45-4,0))</f>
        <v>Yunnan Sheng</v>
      </c>
      <c r="K45" s="267"/>
      <c r="L45" s="267"/>
      <c r="M45" s="267"/>
      <c r="N45" s="267"/>
      <c r="O45" s="267"/>
      <c r="P45" s="219"/>
      <c r="Q45" s="268"/>
      <c r="R45" s="216" t="str">
        <f ca="1">IF(ISERROR($V45),"",OFFSET('Smelter Look-up'!$C$4,$V45-4,0)&amp;"")</f>
        <v>Yunnan Tin Company Limited</v>
      </c>
      <c r="S45" s="224" t="str">
        <f t="shared" ca="1" si="0"/>
        <v>CN</v>
      </c>
      <c r="T45" s="224" t="str">
        <f ca="1">IF(B45="","",IF(ISERROR(MATCH($J45,SorP!$B$1:$B$6230,0)),"",INDIRECT("'SorP'!$A$"&amp;MATCH($J45,SorP!$B$1:$B$6230,0))))</f>
        <v>CN-YN</v>
      </c>
      <c r="U45" s="239"/>
      <c r="V45" s="269">
        <f ca="1">IF(C45="",NA(),MATCH($B45&amp;$C45,'Smelter Look-up'!$J:$J,0))</f>
        <v>507</v>
      </c>
      <c r="W45" s="270"/>
      <c r="X45" s="270">
        <f t="shared" ca="1" si="1"/>
        <v>0</v>
      </c>
      <c r="Y45" s="270"/>
      <c r="Z45" s="270"/>
      <c r="AB45" s="272" t="str">
        <f t="shared" ca="1" si="2"/>
        <v>TinYunnan Tin Company Limited</v>
      </c>
    </row>
    <row r="46" spans="1:28" s="271" customFormat="1" ht="51">
      <c r="A46" s="215" t="s">
        <v>2073</v>
      </c>
      <c r="B46" s="216" t="str">
        <f ca="1">IF(LEN(A46)=0,"",INDEX('Smelter Look-up'!$A:$A,MATCH($A46,'Smelter Look-up'!$E:$E,0)))</f>
        <v>Tin</v>
      </c>
      <c r="C46" s="220" t="str">
        <f ca="1">IF(LEN(A46)=0,"",INDEX('Smelter Look-up'!$C:$C,MATCH($A46,'Smelter Look-up'!$E:$E,0)))</f>
        <v>Metallo Belgium N.V.</v>
      </c>
      <c r="D46" s="216"/>
      <c r="E46" s="216" t="str">
        <f ca="1">IF(ISERROR($V46),"",OFFSET('Smelter Look-up'!$D$4,$V46-4,0)&amp;"")</f>
        <v>BELGIUM</v>
      </c>
      <c r="F46" s="216" t="str">
        <f ca="1">IF(ISERROR($V46),"",OFFSET('Smelter Look-up'!$E$4,$V46-4,0))</f>
        <v>CID002773</v>
      </c>
      <c r="G46" s="216" t="str">
        <f ca="1">IF(C46=$X$4,"Enter smelter details", IF(ISERROR($V46),"",OFFSET('Smelter Look-up'!$F$4,$V46-4,0)))</f>
        <v>RMI</v>
      </c>
      <c r="H46" s="217">
        <f ca="1">IF(ISERROR($V46),"",OFFSET('Smelter Look-up'!$G$4,$V46-4,0))</f>
        <v>0</v>
      </c>
      <c r="I46" s="218" t="str">
        <f ca="1">IF(ISERROR($V46),"",OFFSET('Smelter Look-up'!$H$4,$V46-4,0))</f>
        <v>Beerse</v>
      </c>
      <c r="J46" s="218" t="str">
        <f ca="1">IF(ISERROR($V46),"",OFFSET('Smelter Look-up'!$I$4,$V46-4,0))</f>
        <v>Antwerpen</v>
      </c>
      <c r="K46" s="267"/>
      <c r="L46" s="267"/>
      <c r="M46" s="267"/>
      <c r="N46" s="267"/>
      <c r="O46" s="267"/>
      <c r="P46" s="219"/>
      <c r="Q46" s="268"/>
      <c r="R46" s="216" t="str">
        <f ca="1">IF(ISERROR($V46),"",OFFSET('Smelter Look-up'!$C$4,$V46-4,0)&amp;"")</f>
        <v>Metallo Belgium N.V.</v>
      </c>
      <c r="S46" s="224" t="str">
        <f t="shared" ca="1" si="0"/>
        <v>BE</v>
      </c>
      <c r="T46" s="224" t="str">
        <f ca="1">IF(B46="","",IF(ISERROR(MATCH($J46,SorP!$B$1:$B$6230,0)),"",INDIRECT("'SorP'!$A$"&amp;MATCH($J46,SorP!$B$1:$B$6230,0))))</f>
        <v>BE-VAN</v>
      </c>
      <c r="U46" s="239"/>
      <c r="V46" s="269">
        <f ca="1">IF(C46="",NA(),MATCH($B46&amp;$C46,'Smelter Look-up'!$J:$J,0))</f>
        <v>423</v>
      </c>
      <c r="W46" s="270"/>
      <c r="X46" s="270">
        <f t="shared" ca="1" si="1"/>
        <v>0</v>
      </c>
      <c r="Y46" s="270"/>
      <c r="Z46" s="270"/>
      <c r="AB46" s="272" t="str">
        <f t="shared" ca="1" si="2"/>
        <v>TinMetallo Belgium N.V.</v>
      </c>
    </row>
    <row r="47" spans="1:28" s="271" customFormat="1" ht="114.75">
      <c r="A47" s="215" t="s">
        <v>909</v>
      </c>
      <c r="B47" s="216" t="str">
        <f ca="1">IF(LEN(A47)=0,"",INDEX('Smelter Look-up'!$A:$A,MATCH($A47,'Smelter Look-up'!$E:$E,0)))</f>
        <v>Tungsten</v>
      </c>
      <c r="C47" s="220" t="str">
        <f ca="1">IF(LEN(A47)=0,"",INDEX('Smelter Look-up'!$C:$C,MATCH($A47,'Smelter Look-up'!$E:$E,0)))</f>
        <v>Ganzhou Huaxing Tungsten Products Co., Ltd.</v>
      </c>
      <c r="D47" s="216"/>
      <c r="E47" s="216" t="str">
        <f ca="1">IF(ISERROR($V47),"",OFFSET('Smelter Look-up'!$D$4,$V47-4,0)&amp;"")</f>
        <v>CHINA</v>
      </c>
      <c r="F47" s="216" t="str">
        <f ca="1">IF(ISERROR($V47),"",OFFSET('Smelter Look-up'!$E$4,$V47-4,0))</f>
        <v>CID000875</v>
      </c>
      <c r="G47" s="216" t="str">
        <f ca="1">IF(C47=$X$4,"Enter smelter details", IF(ISERROR($V47),"",OFFSET('Smelter Look-up'!$F$4,$V47-4,0)))</f>
        <v>RMI</v>
      </c>
      <c r="H47" s="217">
        <f ca="1">IF(ISERROR($V47),"",OFFSET('Smelter Look-up'!$G$4,$V47-4,0))</f>
        <v>0</v>
      </c>
      <c r="I47" s="218" t="str">
        <f ca="1">IF(ISERROR($V47),"",OFFSET('Smelter Look-up'!$H$4,$V47-4,0))</f>
        <v>Ganzhou</v>
      </c>
      <c r="J47" s="218" t="str">
        <f ca="1">IF(ISERROR($V47),"",OFFSET('Smelter Look-up'!$I$4,$V47-4,0))</f>
        <v>Jiangxi Sheng</v>
      </c>
      <c r="K47" s="267"/>
      <c r="L47" s="267"/>
      <c r="M47" s="267"/>
      <c r="N47" s="267"/>
      <c r="O47" s="267"/>
      <c r="P47" s="219"/>
      <c r="Q47" s="268"/>
      <c r="R47" s="216" t="str">
        <f ca="1">IF(ISERROR($V47),"",OFFSET('Smelter Look-up'!$C$4,$V47-4,0)&amp;"")</f>
        <v>Ganzhou Huaxing Tungsten Products Co., Ltd.</v>
      </c>
      <c r="S47" s="224" t="str">
        <f t="shared" ca="1" si="0"/>
        <v>CN</v>
      </c>
      <c r="T47" s="224" t="str">
        <f ca="1">IF(B47="","",IF(ISERROR(MATCH($J47,SorP!$B$1:$B$6230,0)),"",INDIRECT("'SorP'!$A$"&amp;MATCH($J47,SorP!$B$1:$B$6230,0))))</f>
        <v>CN-JX</v>
      </c>
      <c r="U47" s="239"/>
      <c r="V47" s="269">
        <f ca="1">IF(C47="",NA(),MATCH($B47&amp;$C47,'Smelter Look-up'!$J:$J,0))</f>
        <v>534</v>
      </c>
      <c r="W47" s="270"/>
      <c r="X47" s="270">
        <f t="shared" ca="1" si="1"/>
        <v>0</v>
      </c>
      <c r="Y47" s="270"/>
      <c r="Z47" s="270"/>
      <c r="AB47" s="272" t="str">
        <f t="shared" ca="1" si="2"/>
        <v>TungstenGanzhou Huaxing Tungsten Products Co., Ltd.</v>
      </c>
    </row>
    <row r="48" spans="1:28" s="271" customFormat="1" ht="63.75">
      <c r="A48" s="215" t="s">
        <v>913</v>
      </c>
      <c r="B48" s="216" t="str">
        <f ca="1">IF(LEN(A48)=0,"",INDEX('Smelter Look-up'!$A:$A,MATCH($A48,'Smelter Look-up'!$E:$E,0)))</f>
        <v>Tungsten</v>
      </c>
      <c r="C48" s="220" t="str">
        <f ca="1">IF(LEN(A48)=0,"",INDEX('Smelter Look-up'!$C:$C,MATCH($A48,'Smelter Look-up'!$E:$E,0)))</f>
        <v>Xiamen Tungsten Co., Ltd.</v>
      </c>
      <c r="D48" s="216"/>
      <c r="E48" s="216" t="str">
        <f ca="1">IF(ISERROR($V48),"",OFFSET('Smelter Look-up'!$D$4,$V48-4,0)&amp;"")</f>
        <v>CHINA</v>
      </c>
      <c r="F48" s="216" t="str">
        <f ca="1">IF(ISERROR($V48),"",OFFSET('Smelter Look-up'!$E$4,$V48-4,0))</f>
        <v>CID002082</v>
      </c>
      <c r="G48" s="216" t="str">
        <f ca="1">IF(C48=$X$4,"Enter smelter details", IF(ISERROR($V48),"",OFFSET('Smelter Look-up'!$F$4,$V48-4,0)))</f>
        <v>RMI</v>
      </c>
      <c r="H48" s="217">
        <f ca="1">IF(ISERROR($V48),"",OFFSET('Smelter Look-up'!$G$4,$V48-4,0))</f>
        <v>0</v>
      </c>
      <c r="I48" s="218" t="str">
        <f ca="1">IF(ISERROR($V48),"",OFFSET('Smelter Look-up'!$H$4,$V48-4,0))</f>
        <v>Xiamen</v>
      </c>
      <c r="J48" s="218" t="str">
        <f ca="1">IF(ISERROR($V48),"",OFFSET('Smelter Look-up'!$I$4,$V48-4,0))</f>
        <v>Fujian Sheng</v>
      </c>
      <c r="K48" s="267"/>
      <c r="L48" s="267"/>
      <c r="M48" s="267"/>
      <c r="N48" s="267"/>
      <c r="O48" s="267"/>
      <c r="P48" s="219"/>
      <c r="Q48" s="268"/>
      <c r="R48" s="216" t="str">
        <f ca="1">IF(ISERROR($V48),"",OFFSET('Smelter Look-up'!$C$4,$V48-4,0)&amp;"")</f>
        <v>Xiamen Tungsten Co., Ltd.</v>
      </c>
      <c r="S48" s="224" t="str">
        <f t="shared" ca="1" si="0"/>
        <v>CN</v>
      </c>
      <c r="T48" s="224" t="str">
        <f ca="1">IF(B48="","",IF(ISERROR(MATCH($J48,SorP!$B$1:$B$6230,0)),"",INDIRECT("'SorP'!$A$"&amp;MATCH($J48,SorP!$B$1:$B$6230,0))))</f>
        <v>CN-FJ</v>
      </c>
      <c r="U48" s="239"/>
      <c r="V48" s="269">
        <f ca="1">IF(C48="",NA(),MATCH($B48&amp;$C48,'Smelter Look-up'!$J:$J,0))</f>
        <v>582</v>
      </c>
      <c r="W48" s="270"/>
      <c r="X48" s="270">
        <f t="shared" ca="1" si="1"/>
        <v>0</v>
      </c>
      <c r="Y48" s="270"/>
      <c r="Z48" s="270"/>
      <c r="AB48" s="272" t="str">
        <f t="shared" ca="1" si="2"/>
        <v>TungstenXiamen Tungsten Co., Ltd.</v>
      </c>
    </row>
    <row r="49" spans="1:28" s="271" customFormat="1" ht="76.5">
      <c r="A49" s="215" t="s">
        <v>155</v>
      </c>
      <c r="B49" s="216" t="str">
        <f ca="1">IF(LEN(A49)=0,"",INDEX('Smelter Look-up'!$A:$A,MATCH($A49,'Smelter Look-up'!$E:$E,0)))</f>
        <v>Tungsten</v>
      </c>
      <c r="C49" s="220" t="str">
        <f ca="1">IF(LEN(A49)=0,"",INDEX('Smelter Look-up'!$C:$C,MATCH($A49,'Smelter Look-up'!$E:$E,0)))</f>
        <v>Xiamen Tungsten (H.C.) Co., Ltd.</v>
      </c>
      <c r="D49" s="216"/>
      <c r="E49" s="216" t="str">
        <f ca="1">IF(ISERROR($V49),"",OFFSET('Smelter Look-up'!$D$4,$V49-4,0)&amp;"")</f>
        <v>CHINA</v>
      </c>
      <c r="F49" s="216" t="str">
        <f ca="1">IF(ISERROR($V49),"",OFFSET('Smelter Look-up'!$E$4,$V49-4,0))</f>
        <v>CID002320</v>
      </c>
      <c r="G49" s="216" t="str">
        <f ca="1">IF(C49=$X$4,"Enter smelter details", IF(ISERROR($V49),"",OFFSET('Smelter Look-up'!$F$4,$V49-4,0)))</f>
        <v>RMI</v>
      </c>
      <c r="H49" s="217">
        <f ca="1">IF(ISERROR($V49),"",OFFSET('Smelter Look-up'!$G$4,$V49-4,0))</f>
        <v>0</v>
      </c>
      <c r="I49" s="218" t="str">
        <f ca="1">IF(ISERROR($V49),"",OFFSET('Smelter Look-up'!$H$4,$V49-4,0))</f>
        <v>Xiamen</v>
      </c>
      <c r="J49" s="218" t="str">
        <f ca="1">IF(ISERROR($V49),"",OFFSET('Smelter Look-up'!$I$4,$V49-4,0))</f>
        <v>Fujian Sheng</v>
      </c>
      <c r="K49" s="267"/>
      <c r="L49" s="267"/>
      <c r="M49" s="267"/>
      <c r="N49" s="267"/>
      <c r="O49" s="267"/>
      <c r="P49" s="219"/>
      <c r="Q49" s="268"/>
      <c r="R49" s="216" t="str">
        <f ca="1">IF(ISERROR($V49),"",OFFSET('Smelter Look-up'!$C$4,$V49-4,0)&amp;"")</f>
        <v>Xiamen Tungsten (H.C.) Co., Ltd.</v>
      </c>
      <c r="S49" s="224" t="str">
        <f t="shared" ca="1" si="0"/>
        <v>CN</v>
      </c>
      <c r="T49" s="224" t="str">
        <f ca="1">IF(B49="","",IF(ISERROR(MATCH($J49,SorP!$B$1:$B$6230,0)),"",INDIRECT("'SorP'!$A$"&amp;MATCH($J49,SorP!$B$1:$B$6230,0))))</f>
        <v>CN-FJ</v>
      </c>
      <c r="U49" s="239"/>
      <c r="V49" s="269">
        <f ca="1">IF(C49="",NA(),MATCH($B49&amp;$C49,'Smelter Look-up'!$J:$J,0))</f>
        <v>581</v>
      </c>
      <c r="W49" s="270"/>
      <c r="X49" s="270">
        <f t="shared" ca="1" si="1"/>
        <v>0</v>
      </c>
      <c r="Y49" s="270"/>
      <c r="Z49" s="270"/>
      <c r="AB49" s="272" t="str">
        <f t="shared" ca="1" si="2"/>
        <v>TungstenXiamen Tungsten (H.C.) Co., Ltd.</v>
      </c>
    </row>
    <row r="50" spans="1:28" s="271" customFormat="1" ht="89.25">
      <c r="A50" s="215" t="s">
        <v>456</v>
      </c>
      <c r="B50" s="216" t="str">
        <f ca="1">IF(LEN(A50)=0,"",INDEX('Smelter Look-up'!$A:$A,MATCH($A50,'Smelter Look-up'!$E:$E,0)))</f>
        <v>Tungsten</v>
      </c>
      <c r="C50" s="220" t="str">
        <f ca="1">IF(LEN(A50)=0,"",INDEX('Smelter Look-up'!$C:$C,MATCH($A50,'Smelter Look-up'!$E:$E,0)))</f>
        <v>Ganzhou Seadragon W &amp; Mo Co., Ltd.</v>
      </c>
      <c r="D50" s="216"/>
      <c r="E50" s="216" t="str">
        <f ca="1">IF(ISERROR($V50),"",OFFSET('Smelter Look-up'!$D$4,$V50-4,0)&amp;"")</f>
        <v>CHINA</v>
      </c>
      <c r="F50" s="216" t="str">
        <f ca="1">IF(ISERROR($V50),"",OFFSET('Smelter Look-up'!$E$4,$V50-4,0))</f>
        <v>CID002494</v>
      </c>
      <c r="G50" s="216" t="str">
        <f ca="1">IF(C50=$X$4,"Enter smelter details", IF(ISERROR($V50),"",OFFSET('Smelter Look-up'!$F$4,$V50-4,0)))</f>
        <v>RMI</v>
      </c>
      <c r="H50" s="217">
        <f ca="1">IF(ISERROR($V50),"",OFFSET('Smelter Look-up'!$G$4,$V50-4,0))</f>
        <v>0</v>
      </c>
      <c r="I50" s="218" t="str">
        <f ca="1">IF(ISERROR($V50),"",OFFSET('Smelter Look-up'!$H$4,$V50-4,0))</f>
        <v>Ganzhou</v>
      </c>
      <c r="J50" s="218" t="str">
        <f ca="1">IF(ISERROR($V50),"",OFFSET('Smelter Look-up'!$I$4,$V50-4,0))</f>
        <v>Jiangxi Sheng</v>
      </c>
      <c r="K50" s="267"/>
      <c r="L50" s="267"/>
      <c r="M50" s="267"/>
      <c r="N50" s="267"/>
      <c r="O50" s="267"/>
      <c r="P50" s="219"/>
      <c r="Q50" s="268"/>
      <c r="R50" s="216" t="str">
        <f ca="1">IF(ISERROR($V50),"",OFFSET('Smelter Look-up'!$C$4,$V50-4,0)&amp;"")</f>
        <v>Ganzhou Seadragon W &amp; Mo Co., Ltd.</v>
      </c>
      <c r="S50" s="224" t="str">
        <f t="shared" ca="1" si="0"/>
        <v>CN</v>
      </c>
      <c r="T50" s="224" t="str">
        <f ca="1">IF(B50="","",IF(ISERROR(MATCH($J50,SorP!$B$1:$B$6230,0)),"",INDIRECT("'SorP'!$A$"&amp;MATCH($J50,SorP!$B$1:$B$6230,0))))</f>
        <v>CN-JX</v>
      </c>
      <c r="U50" s="239"/>
      <c r="V50" s="269">
        <f ca="1">IF(C50="",NA(),MATCH($B50&amp;$C50,'Smelter Look-up'!$J:$J,0))</f>
        <v>536</v>
      </c>
      <c r="W50" s="270"/>
      <c r="X50" s="270">
        <f t="shared" ca="1" si="1"/>
        <v>0</v>
      </c>
      <c r="Y50" s="270"/>
      <c r="Z50" s="270"/>
      <c r="AB50" s="272" t="str">
        <f t="shared" ca="1" si="2"/>
        <v>TungstenGanzhou Seadragon W &amp; Mo Co., Ltd.</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Monolithic Power Systems,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QA-Customer</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QA-Customer@monolithicpower.com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+86 28 87303024</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Dr. Henry Zhao</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Henry.Zhao@monolithicpower.com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+1 408-826-0756</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43630</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https://www.monolithicpower.com/en/design-tools/quality/quality-policy-certificates.html/</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List'!AB$5:AB$2493,"Tantalum?*")&gt;0),0,1)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9"/>
    </row>
    <row r="2" spans="1:6">
      <c r="A2" s="29"/>
      <c r="B2" s="151"/>
      <c r="C2" s="151"/>
      <c r="D2"/>
      <c r="E2" s="30"/>
    </row>
    <row r="3" spans="1:6">
      <c r="A3" s="29"/>
      <c r="B3" s="151"/>
      <c r="C3" s="151"/>
      <c r="D3" s="151"/>
      <c r="E3" s="30"/>
    </row>
    <row r="4" spans="1:6" ht="15.75" customHeight="1">
      <c r="A4" s="29"/>
      <c r="B4" s="451" t="s">
        <v>1014</v>
      </c>
      <c r="C4" s="451"/>
      <c r="D4" s="45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54" t="str">
        <f ca="1">OFFSET(L!$C$1,MATCH("General"&amp;"Cpy",L!$A:$A,0)-1,SL,,)</f>
        <v>© 2019 Responsible Minerals Initiative. All rights reserved.</v>
      </c>
      <c r="C1001" s="454"/>
      <c r="D1001" s="45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Paul van Haarlem</cp:lastModifiedBy>
  <cp:lastPrinted>2015-04-21T20:47:43Z</cp:lastPrinted>
  <dcterms:created xsi:type="dcterms:W3CDTF">2010-06-21T21:00:23Z</dcterms:created>
  <dcterms:modified xsi:type="dcterms:W3CDTF">2020-02-21T09:06:01Z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