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showInkAnnotation="0" codeName="ThisWorkbook" autoCompressPictures="0"/>
  <mc:AlternateContent xmlns:mc="http://schemas.openxmlformats.org/markup-compatibility/2006">
    <mc:Choice Requires="x15">
      <x15ac:absPath xmlns:x15ac="http://schemas.microsoft.com/office/spreadsheetml/2010/11/ac" url="C:\Users\marvellas\Desktop\CMRT\2018 EICC CMRT Product Lines\"/>
    </mc:Choice>
  </mc:AlternateContent>
  <bookViews>
    <workbookView xWindow="0" yWindow="0" windowWidth="19200" windowHeight="646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B48" i="5"/>
  <c r="C48" i="5"/>
  <c r="V48" i="5" s="1"/>
  <c r="B49" i="5"/>
  <c r="C49" i="5"/>
  <c r="V49" i="5" s="1"/>
  <c r="B50" i="5"/>
  <c r="C50" i="5"/>
  <c r="B51" i="5"/>
  <c r="C51" i="5"/>
  <c r="V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I37" i="5"/>
  <c r="R39" i="5"/>
  <c r="I43" i="5"/>
  <c r="E45" i="5"/>
  <c r="X45" i="5" s="1"/>
  <c r="I47" i="5"/>
  <c r="G49" i="5"/>
  <c r="I51" i="5"/>
  <c r="J53" i="5"/>
  <c r="G55"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G173" i="5"/>
  <c r="E177" i="5"/>
  <c r="X177" i="5" s="1"/>
  <c r="E181" i="5"/>
  <c r="X181" i="5" s="1"/>
  <c r="H189" i="5"/>
  <c r="F193" i="5"/>
  <c r="F237" i="5"/>
  <c r="R261" i="5"/>
  <c r="H277" i="5"/>
  <c r="F30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s="1"/>
  <c r="B54" i="6"/>
  <c r="G54" i="6" s="1"/>
  <c r="B53" i="6"/>
  <c r="G53" i="6" s="1"/>
  <c r="B50" i="6"/>
  <c r="G50" i="6" s="1"/>
  <c r="H14" i="6"/>
  <c r="H61" i="4"/>
  <c r="B86" i="4"/>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J132" i="5"/>
  <c r="I116" i="5"/>
  <c r="I76" i="5"/>
  <c r="F68" i="5"/>
  <c r="E52" i="5"/>
  <c r="X52" i="5" s="1"/>
  <c r="I2050" i="5"/>
  <c r="E1204" i="5"/>
  <c r="X1204" i="5" s="1"/>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E79" i="5"/>
  <c r="X79" i="5" s="1"/>
  <c r="G237" i="5"/>
  <c r="R93" i="5"/>
  <c r="F117" i="5"/>
  <c r="B48" i="6" l="1"/>
  <c r="B23" i="6"/>
  <c r="B43" i="6" s="1"/>
  <c r="B21" i="6"/>
  <c r="B31" i="6" s="1"/>
  <c r="F21" i="6"/>
  <c r="B20" i="6"/>
  <c r="B35" i="6" s="1"/>
  <c r="F20" i="6"/>
  <c r="F22" i="6"/>
  <c r="G22" i="6"/>
  <c r="G18" i="6"/>
  <c r="H18" i="6" s="1"/>
  <c r="G16" i="6"/>
  <c r="H16" i="6" s="1"/>
  <c r="D16" i="6" s="1"/>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52" i="5"/>
  <c r="AB44" i="5"/>
  <c r="AB36"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R87" i="5"/>
  <c r="G117" i="5"/>
  <c r="H109" i="5"/>
  <c r="H173" i="5"/>
  <c r="I277" i="5"/>
  <c r="E491" i="5"/>
  <c r="X491" i="5" s="1"/>
  <c r="H79" i="5"/>
  <c r="H285" i="5"/>
  <c r="J117" i="5"/>
  <c r="E373" i="5"/>
  <c r="X373" i="5" s="1"/>
  <c r="E475" i="5"/>
  <c r="X475" i="5" s="1"/>
  <c r="H481" i="5"/>
  <c r="H523" i="5"/>
  <c r="H397" i="5"/>
  <c r="I389" i="5"/>
  <c r="F87" i="5"/>
  <c r="F141" i="5"/>
  <c r="R205" i="5"/>
  <c r="I317" i="5"/>
  <c r="I493" i="5"/>
  <c r="I381" i="5"/>
  <c r="I133" i="5"/>
  <c r="I261" i="5"/>
  <c r="I397" i="5"/>
  <c r="H293" i="5"/>
  <c r="F824" i="5"/>
  <c r="I63" i="5"/>
  <c r="G325" i="5"/>
  <c r="I55" i="5"/>
  <c r="H87" i="5"/>
  <c r="F149" i="5"/>
  <c r="H229" i="5"/>
  <c r="G333" i="5"/>
  <c r="I157" i="5"/>
  <c r="J269" i="5"/>
  <c r="G71" i="5"/>
  <c r="F133" i="5"/>
  <c r="F261" i="5"/>
  <c r="F459" i="5"/>
  <c r="J181" i="5"/>
  <c r="F2428" i="5"/>
  <c r="H331"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G77" i="5"/>
  <c r="F535" i="5"/>
  <c r="E423" i="5"/>
  <c r="X423" i="5" s="1"/>
  <c r="J2098" i="5"/>
  <c r="G1207" i="5"/>
  <c r="R545" i="5"/>
  <c r="I413" i="5"/>
  <c r="G427"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G69" i="5"/>
  <c r="F77" i="5"/>
  <c r="F85" i="5"/>
  <c r="F155" i="5"/>
  <c r="J187"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H53" i="5"/>
  <c r="R703" i="5"/>
  <c r="E1007" i="5"/>
  <c r="X1007" i="5" s="1"/>
  <c r="I61" i="5"/>
  <c r="J171" i="5"/>
  <c r="I403" i="5"/>
  <c r="J567" i="5"/>
  <c r="I651" i="5"/>
  <c r="F911" i="5"/>
  <c r="J931" i="5"/>
  <c r="E947" i="5"/>
  <c r="X947" i="5" s="1"/>
  <c r="J1075" i="5"/>
  <c r="G1243" i="5"/>
  <c r="E1315" i="5"/>
  <c r="X1315" i="5" s="1"/>
  <c r="H1367" i="5"/>
  <c r="H595"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I1432" i="5"/>
  <c r="H2424" i="5"/>
  <c r="J2388" i="5"/>
  <c r="E2388" i="5"/>
  <c r="X2388" i="5" s="1"/>
  <c r="I2107" i="5"/>
  <c r="H1879" i="5"/>
  <c r="I1548" i="5"/>
  <c r="E1879" i="5"/>
  <c r="X1879" i="5" s="1"/>
  <c r="R2363" i="5"/>
  <c r="H2123" i="5"/>
  <c r="G1548" i="5"/>
  <c r="I2292" i="5"/>
  <c r="R1234" i="5"/>
  <c r="H1070" i="5"/>
  <c r="R277" i="5"/>
  <c r="H165" i="5"/>
  <c r="J539" i="5"/>
  <c r="J545" i="5"/>
  <c r="H39" i="5"/>
  <c r="F301" i="5"/>
  <c r="G389"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J84" i="5"/>
  <c r="E2000" i="5"/>
  <c r="X2000" i="5" s="1"/>
  <c r="H2471" i="5"/>
  <c r="H2007" i="5"/>
  <c r="J1234" i="5"/>
  <c r="R2235" i="5"/>
  <c r="J2282" i="5"/>
  <c r="J1151" i="5"/>
  <c r="G156" i="5"/>
  <c r="H60"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212"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29" i="5"/>
  <c r="J429" i="5"/>
  <c r="I417" i="5"/>
  <c r="F417" i="5"/>
  <c r="E417" i="5"/>
  <c r="X417" i="5" s="1"/>
  <c r="H47" i="5"/>
  <c r="E507" i="5"/>
  <c r="X507" i="5" s="1"/>
  <c r="G533" i="5"/>
  <c r="J261" i="5"/>
  <c r="I505" i="5"/>
  <c r="E229" i="5"/>
  <c r="X229" i="5" s="1"/>
  <c r="R349" i="5"/>
  <c r="F381" i="5"/>
  <c r="E555" i="5"/>
  <c r="X555" i="5" s="1"/>
  <c r="J523" i="5"/>
  <c r="R557" i="5"/>
  <c r="I497" i="5"/>
  <c r="I427" i="5"/>
  <c r="G221" i="5"/>
  <c r="E481" i="5"/>
  <c r="X481" i="5" s="1"/>
  <c r="R457" i="5"/>
  <c r="R293" i="5"/>
  <c r="E157" i="5"/>
  <c r="X157" i="5" s="1"/>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F63" i="5"/>
  <c r="H509" i="5"/>
  <c r="R213" i="5"/>
  <c r="F457" i="5"/>
  <c r="H437" i="5"/>
  <c r="I221" i="5"/>
  <c r="R181" i="5"/>
  <c r="G523" i="5"/>
  <c r="F197" i="5"/>
  <c r="E39" i="5"/>
  <c r="X39" i="5" s="1"/>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G1473" i="5"/>
  <c r="F1105" i="5"/>
  <c r="H2433" i="5"/>
  <c r="I1637" i="5"/>
  <c r="I127" i="5"/>
  <c r="H1173" i="5"/>
  <c r="E1377" i="5"/>
  <c r="X1377" i="5" s="1"/>
  <c r="E183" i="5"/>
  <c r="X183" i="5" s="1"/>
  <c r="F657" i="5"/>
  <c r="F793" i="5"/>
  <c r="F399" i="5"/>
  <c r="H1573" i="5"/>
  <c r="R2257" i="5"/>
  <c r="J937" i="5"/>
  <c r="G1445" i="5"/>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E869" i="5"/>
  <c r="X869" i="5" s="1"/>
  <c r="J2185" i="5"/>
  <c r="I901" i="5"/>
  <c r="H1375" i="5"/>
  <c r="R657" i="5"/>
  <c r="I495" i="5"/>
  <c r="F593" i="5"/>
  <c r="I1089" i="5"/>
  <c r="J1449" i="5"/>
  <c r="E1553" i="5"/>
  <c r="X1553" i="5" s="1"/>
  <c r="R2005" i="5"/>
  <c r="I1705" i="5"/>
  <c r="I1841" i="5"/>
  <c r="J1669" i="5"/>
  <c r="H1981"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H43" i="5"/>
  <c r="F43" i="5"/>
  <c r="J51" i="5"/>
  <c r="G59" i="5"/>
  <c r="H91" i="5"/>
  <c r="R97" i="5"/>
  <c r="R121" i="5"/>
  <c r="G121" i="5"/>
  <c r="R137" i="5"/>
  <c r="H137" i="5"/>
  <c r="F145" i="5"/>
  <c r="H161" i="5"/>
  <c r="G177" i="5"/>
  <c r="F177" i="5"/>
  <c r="G209" i="5"/>
  <c r="E225" i="5"/>
  <c r="X225" i="5" s="1"/>
  <c r="R273" i="5"/>
  <c r="I289" i="5"/>
  <c r="H313" i="5"/>
  <c r="I409" i="5"/>
  <c r="F409" i="5"/>
  <c r="F451" i="5"/>
  <c r="H499" i="5"/>
  <c r="I38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J91" i="5"/>
  <c r="H467" i="5"/>
  <c r="G385"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J152" i="5"/>
  <c r="R290" i="5"/>
  <c r="J546" i="5"/>
  <c r="J198" i="5"/>
  <c r="G258" i="5"/>
  <c r="F394" i="5"/>
  <c r="F1566" i="5"/>
  <c r="E1286" i="5"/>
  <c r="X1286" i="5" s="1"/>
  <c r="I128" i="5"/>
  <c r="I1510" i="5"/>
  <c r="R1966"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B35" i="5" l="1"/>
  <c r="C35" i="5"/>
  <c r="B32" i="5"/>
  <c r="C32" i="5"/>
  <c r="B33" i="5"/>
  <c r="C33" i="5"/>
  <c r="B34" i="5"/>
  <c r="C34" i="5"/>
  <c r="B8" i="5"/>
  <c r="B12" i="5"/>
  <c r="B16" i="5"/>
  <c r="B20" i="5"/>
  <c r="B24" i="5"/>
  <c r="B28" i="5"/>
  <c r="C19" i="5"/>
  <c r="C8" i="5"/>
  <c r="C12" i="5"/>
  <c r="C16" i="5"/>
  <c r="C20" i="5"/>
  <c r="C24" i="5"/>
  <c r="C28" i="5"/>
  <c r="C15" i="5"/>
  <c r="B5" i="5"/>
  <c r="B9" i="5"/>
  <c r="B13" i="5"/>
  <c r="B17" i="5"/>
  <c r="B21" i="5"/>
  <c r="B25" i="5"/>
  <c r="B29" i="5"/>
  <c r="C31" i="5"/>
  <c r="C5" i="5"/>
  <c r="C9" i="5"/>
  <c r="C13" i="5"/>
  <c r="C17" i="5"/>
  <c r="C21" i="5"/>
  <c r="C25" i="5"/>
  <c r="C29" i="5"/>
  <c r="C23" i="5"/>
  <c r="B6" i="5"/>
  <c r="B10" i="5"/>
  <c r="B14" i="5"/>
  <c r="B18" i="5"/>
  <c r="B22" i="5"/>
  <c r="B26" i="5"/>
  <c r="B30" i="5"/>
  <c r="C27" i="5"/>
  <c r="C6" i="5"/>
  <c r="C10" i="5"/>
  <c r="C14" i="5"/>
  <c r="C18" i="5"/>
  <c r="V18" i="5" s="1"/>
  <c r="C22" i="5"/>
  <c r="C26" i="5"/>
  <c r="C30" i="5"/>
  <c r="C7" i="5"/>
  <c r="B7" i="5"/>
  <c r="B11" i="5"/>
  <c r="B15" i="5"/>
  <c r="B19" i="5"/>
  <c r="B23" i="5"/>
  <c r="B27" i="5"/>
  <c r="B31" i="5"/>
  <c r="C11" i="5"/>
  <c r="C9" i="6"/>
  <c r="C12" i="6"/>
  <c r="C13" i="6"/>
  <c r="C10" i="6"/>
  <c r="C5" i="6"/>
  <c r="C11" i="6"/>
  <c r="C8" i="6"/>
  <c r="C7" i="6"/>
  <c r="B28" i="6"/>
  <c r="B33" i="6"/>
  <c r="G33" i="6" s="1"/>
  <c r="G23" i="6"/>
  <c r="H23" i="6" s="1"/>
  <c r="D23" i="6" s="1"/>
  <c r="B38" i="6"/>
  <c r="B45" i="6"/>
  <c r="G20" i="6"/>
  <c r="H20" i="6" s="1"/>
  <c r="B25" i="6"/>
  <c r="G25" i="6" s="1"/>
  <c r="H25" i="6" s="1"/>
  <c r="F25" i="6"/>
  <c r="B40" i="6"/>
  <c r="F26" i="6"/>
  <c r="F41" i="6" s="1"/>
  <c r="B30" i="6"/>
  <c r="B41" i="6"/>
  <c r="G41" i="6" s="1"/>
  <c r="G21" i="6"/>
  <c r="H21" i="6" s="1"/>
  <c r="B26" i="6"/>
  <c r="B36" i="6"/>
  <c r="B46" i="6"/>
  <c r="G46" i="6" s="1"/>
  <c r="G31" i="6"/>
  <c r="H22" i="6"/>
  <c r="D22" i="6" s="1"/>
  <c r="G47" i="6"/>
  <c r="G42" i="6"/>
  <c r="G40" i="6"/>
  <c r="G26" i="6"/>
  <c r="G27" i="6"/>
  <c r="G32" i="6"/>
  <c r="G45" i="6"/>
  <c r="G43" i="6"/>
  <c r="G38" i="6"/>
  <c r="G35" i="6"/>
  <c r="G28" i="6"/>
  <c r="G37" i="6"/>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V34" i="5" l="1"/>
  <c r="R34" i="5" s="1"/>
  <c r="AB34" i="5"/>
  <c r="V33" i="5"/>
  <c r="G33" i="5" s="1"/>
  <c r="AB33" i="5"/>
  <c r="V32" i="5"/>
  <c r="G32" i="5" s="1"/>
  <c r="AB32" i="5"/>
  <c r="V35" i="5"/>
  <c r="G35" i="5" s="1"/>
  <c r="AB35" i="5"/>
  <c r="V31" i="5"/>
  <c r="G31" i="5" s="1"/>
  <c r="AB11" i="5"/>
  <c r="V10" i="5"/>
  <c r="G10" i="5" s="1"/>
  <c r="AB10" i="5"/>
  <c r="V9" i="5"/>
  <c r="G9" i="5" s="1"/>
  <c r="AB9" i="5"/>
  <c r="V8" i="5"/>
  <c r="V27" i="5"/>
  <c r="G27" i="5" s="1"/>
  <c r="AB7" i="5"/>
  <c r="V6" i="5"/>
  <c r="AB6" i="5"/>
  <c r="V5" i="5"/>
  <c r="G5" i="5" s="1"/>
  <c r="AB5" i="5"/>
  <c r="V19" i="5"/>
  <c r="G19" i="5" s="1"/>
  <c r="AB28" i="5"/>
  <c r="AB31" i="5"/>
  <c r="V30" i="5"/>
  <c r="G30" i="5" s="1"/>
  <c r="AB30" i="5"/>
  <c r="V29" i="5"/>
  <c r="G29" i="5" s="1"/>
  <c r="AB29" i="5"/>
  <c r="V28" i="5"/>
  <c r="G28" i="5" s="1"/>
  <c r="AB24" i="5"/>
  <c r="V11" i="5"/>
  <c r="G11" i="5" s="1"/>
  <c r="AB27" i="5"/>
  <c r="V26" i="5"/>
  <c r="G26" i="5" s="1"/>
  <c r="AB26" i="5"/>
  <c r="V25" i="5"/>
  <c r="G25" i="5" s="1"/>
  <c r="AB25" i="5"/>
  <c r="V24" i="5"/>
  <c r="G24" i="5" s="1"/>
  <c r="AB20" i="5"/>
  <c r="V23" i="5"/>
  <c r="G23" i="5" s="1"/>
  <c r="AB23" i="5"/>
  <c r="V22" i="5"/>
  <c r="G22" i="5" s="1"/>
  <c r="AB22" i="5"/>
  <c r="V21" i="5"/>
  <c r="G21" i="5" s="1"/>
  <c r="AB21" i="5"/>
  <c r="V20" i="5"/>
  <c r="G20" i="5" s="1"/>
  <c r="AB16" i="5"/>
  <c r="V7" i="5"/>
  <c r="G7" i="5" s="1"/>
  <c r="AB19" i="5"/>
  <c r="R18" i="5"/>
  <c r="H18" i="5"/>
  <c r="J18" i="5"/>
  <c r="AB18" i="5"/>
  <c r="V17" i="5"/>
  <c r="G17" i="5" s="1"/>
  <c r="AB17" i="5"/>
  <c r="V16" i="5"/>
  <c r="G16" i="5" s="1"/>
  <c r="AB12" i="5"/>
  <c r="V15" i="5"/>
  <c r="G15" i="5" s="1"/>
  <c r="AB15" i="5"/>
  <c r="V14" i="5"/>
  <c r="G14" i="5" s="1"/>
  <c r="AB14" i="5"/>
  <c r="V13" i="5"/>
  <c r="G13" i="5" s="1"/>
  <c r="AB13" i="5"/>
  <c r="V12" i="5"/>
  <c r="G12" i="5" s="1"/>
  <c r="AB8" i="5"/>
  <c r="H26" i="6"/>
  <c r="C26" i="6" s="1"/>
  <c r="F36" i="6"/>
  <c r="F63" i="6"/>
  <c r="K65" i="6"/>
  <c r="C65" i="6" s="1"/>
  <c r="H41" i="6"/>
  <c r="C41" i="6" s="1"/>
  <c r="C25" i="6"/>
  <c r="D25" i="6"/>
  <c r="H42" i="6"/>
  <c r="D42" i="6" s="1"/>
  <c r="H36" i="6"/>
  <c r="C36" i="6" s="1"/>
  <c r="D20" i="6"/>
  <c r="K62" i="6"/>
  <c r="C62" i="6" s="1"/>
  <c r="F45" i="6"/>
  <c r="H45" i="6" s="1"/>
  <c r="F62" i="6"/>
  <c r="B2" i="6" s="1"/>
  <c r="F40" i="6"/>
  <c r="H40" i="6" s="1"/>
  <c r="D40" i="6" s="1"/>
  <c r="F35" i="6"/>
  <c r="H35" i="6" s="1"/>
  <c r="D35" i="6" s="1"/>
  <c r="F30" i="6"/>
  <c r="H30" i="6" s="1"/>
  <c r="F46" i="6"/>
  <c r="H46" i="6" s="1"/>
  <c r="F31" i="6"/>
  <c r="H31" i="6" s="1"/>
  <c r="D31" i="6" s="1"/>
  <c r="C20" i="6"/>
  <c r="D21" i="6"/>
  <c r="C21" i="6"/>
  <c r="K63" i="6"/>
  <c r="H32" i="6"/>
  <c r="C32" i="6" s="1"/>
  <c r="C22" i="6"/>
  <c r="D41" i="6"/>
  <c r="F38" i="6"/>
  <c r="H38" i="6" s="1"/>
  <c r="F43" i="6"/>
  <c r="H43" i="6" s="1"/>
  <c r="H28" i="6"/>
  <c r="F65" i="6"/>
  <c r="F33" i="6"/>
  <c r="H33" i="6" s="1"/>
  <c r="F48" i="6"/>
  <c r="H48" i="6" s="1"/>
  <c r="D36" i="6"/>
  <c r="F66" i="6"/>
  <c r="C66" i="6" s="1"/>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T18" i="5"/>
  <c r="S18" i="5"/>
  <c r="J34" i="5" l="1"/>
  <c r="G34" i="5"/>
  <c r="H34" i="5"/>
  <c r="F34" i="5"/>
  <c r="E34" i="5"/>
  <c r="X34" i="5" s="1"/>
  <c r="I34" i="5"/>
  <c r="F32" i="5"/>
  <c r="J32" i="5"/>
  <c r="E32" i="5"/>
  <c r="H32" i="5"/>
  <c r="I32" i="5"/>
  <c r="R32" i="5"/>
  <c r="E33" i="5"/>
  <c r="J33" i="5"/>
  <c r="I33" i="5"/>
  <c r="R33" i="5"/>
  <c r="F33" i="5"/>
  <c r="H33" i="5"/>
  <c r="F35" i="5"/>
  <c r="J35" i="5"/>
  <c r="R35" i="5"/>
  <c r="E35" i="5"/>
  <c r="I35" i="5"/>
  <c r="H35" i="5"/>
  <c r="E16" i="5"/>
  <c r="I16" i="5"/>
  <c r="F16" i="5"/>
  <c r="J16" i="5"/>
  <c r="R16" i="5"/>
  <c r="H16" i="5"/>
  <c r="J6" i="5"/>
  <c r="H6" i="5"/>
  <c r="R6" i="5"/>
  <c r="F6" i="5"/>
  <c r="E6" i="5"/>
  <c r="I6" i="5"/>
  <c r="H8" i="5"/>
  <c r="R8" i="5"/>
  <c r="E8" i="5"/>
  <c r="I8" i="5"/>
  <c r="F8" i="5"/>
  <c r="J8" i="5"/>
  <c r="J21" i="5"/>
  <c r="H21" i="5"/>
  <c r="R21" i="5"/>
  <c r="E21" i="5"/>
  <c r="F21" i="5"/>
  <c r="I21" i="5"/>
  <c r="H29" i="5"/>
  <c r="R29" i="5"/>
  <c r="J29" i="5"/>
  <c r="F29" i="5"/>
  <c r="I29" i="5"/>
  <c r="E29" i="5"/>
  <c r="J13" i="5"/>
  <c r="H13" i="5"/>
  <c r="R13" i="5"/>
  <c r="F13" i="5"/>
  <c r="E13" i="5"/>
  <c r="I13" i="5"/>
  <c r="R15" i="5"/>
  <c r="H15" i="5"/>
  <c r="I15" i="5"/>
  <c r="F15" i="5"/>
  <c r="E15" i="5"/>
  <c r="J15" i="5"/>
  <c r="R26" i="5"/>
  <c r="J26" i="5"/>
  <c r="I26" i="5"/>
  <c r="F26" i="5"/>
  <c r="H26" i="5"/>
  <c r="E26" i="5"/>
  <c r="I10" i="5"/>
  <c r="E10" i="5"/>
  <c r="J10" i="5"/>
  <c r="R10" i="5"/>
  <c r="H10" i="5"/>
  <c r="F10" i="5"/>
  <c r="F12" i="5"/>
  <c r="J12" i="5"/>
  <c r="R12" i="5"/>
  <c r="H12" i="5"/>
  <c r="E12" i="5"/>
  <c r="I12" i="5"/>
  <c r="F23" i="5"/>
  <c r="E23" i="5"/>
  <c r="H23" i="5"/>
  <c r="I23" i="5"/>
  <c r="J23" i="5"/>
  <c r="R23" i="5"/>
  <c r="I5" i="5"/>
  <c r="J5" i="5"/>
  <c r="E5" i="5"/>
  <c r="R5" i="5"/>
  <c r="F5" i="5"/>
  <c r="H5" i="5"/>
  <c r="E17" i="5"/>
  <c r="J17" i="5"/>
  <c r="R17" i="5"/>
  <c r="F17" i="5"/>
  <c r="H17" i="5"/>
  <c r="I17" i="5"/>
  <c r="H20" i="5"/>
  <c r="R20" i="5"/>
  <c r="J20" i="5"/>
  <c r="E20" i="5"/>
  <c r="I20" i="5"/>
  <c r="F20" i="5"/>
  <c r="H28" i="5"/>
  <c r="R28" i="5"/>
  <c r="F28" i="5"/>
  <c r="E28" i="5"/>
  <c r="J28" i="5"/>
  <c r="I28" i="5"/>
  <c r="J14" i="5"/>
  <c r="H14" i="5"/>
  <c r="F14" i="5"/>
  <c r="I14" i="5"/>
  <c r="R14" i="5"/>
  <c r="E14" i="5"/>
  <c r="F25" i="5"/>
  <c r="I25" i="5"/>
  <c r="E25" i="5"/>
  <c r="H25" i="5"/>
  <c r="R25" i="5"/>
  <c r="J25" i="5"/>
  <c r="E9" i="5"/>
  <c r="F9" i="5"/>
  <c r="I9" i="5"/>
  <c r="J9" i="5"/>
  <c r="R9" i="5"/>
  <c r="H9" i="5"/>
  <c r="R22" i="5"/>
  <c r="I22" i="5"/>
  <c r="F22" i="5"/>
  <c r="J22" i="5"/>
  <c r="H22" i="5"/>
  <c r="E22" i="5"/>
  <c r="H30" i="5"/>
  <c r="R30" i="5"/>
  <c r="I30" i="5"/>
  <c r="F30" i="5"/>
  <c r="E30" i="5"/>
  <c r="J30" i="5"/>
  <c r="F19" i="5"/>
  <c r="J19" i="5"/>
  <c r="E19" i="5"/>
  <c r="I19" i="5"/>
  <c r="H19" i="5"/>
  <c r="R19" i="5"/>
  <c r="H27" i="5"/>
  <c r="F27" i="5"/>
  <c r="R27" i="5"/>
  <c r="I27" i="5"/>
  <c r="E27" i="5"/>
  <c r="J27" i="5"/>
  <c r="J7" i="5"/>
  <c r="R7" i="5"/>
  <c r="E7" i="5"/>
  <c r="I7" i="5"/>
  <c r="H7" i="5"/>
  <c r="F7" i="5"/>
  <c r="E24" i="5"/>
  <c r="I24" i="5"/>
  <c r="J24" i="5"/>
  <c r="H24" i="5"/>
  <c r="R24" i="5"/>
  <c r="F24" i="5"/>
  <c r="R11" i="5"/>
  <c r="E11" i="5"/>
  <c r="F11" i="5"/>
  <c r="H11" i="5"/>
  <c r="I11" i="5"/>
  <c r="J11" i="5"/>
  <c r="G6" i="5"/>
  <c r="G8" i="5"/>
  <c r="E31" i="5"/>
  <c r="I31" i="5"/>
  <c r="F31" i="5"/>
  <c r="R31" i="5"/>
  <c r="H31" i="5"/>
  <c r="J31" i="5"/>
  <c r="D26" i="6"/>
  <c r="D32" i="6"/>
  <c r="C42" i="6"/>
  <c r="C35"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34" i="5"/>
  <c r="T32" i="5"/>
  <c r="S34" i="5"/>
  <c r="T35" i="5"/>
  <c r="T33" i="5"/>
  <c r="T12" i="5"/>
  <c r="T22" i="5"/>
  <c r="T30" i="5"/>
  <c r="T8" i="5"/>
  <c r="T23" i="5"/>
  <c r="T20" i="5"/>
  <c r="T28" i="5"/>
  <c r="T10" i="5"/>
  <c r="T14" i="5"/>
  <c r="T15" i="5"/>
  <c r="T17" i="5"/>
  <c r="T9" i="5"/>
  <c r="T19" i="5"/>
  <c r="T16" i="5"/>
  <c r="T21" i="5"/>
  <c r="T29" i="5"/>
  <c r="T26" i="5"/>
  <c r="T5" i="5"/>
  <c r="T27" i="5"/>
  <c r="T24" i="5"/>
  <c r="T11" i="5"/>
  <c r="T13" i="5"/>
  <c r="T7" i="5"/>
  <c r="T6" i="5"/>
  <c r="T25" i="5"/>
  <c r="T31" i="5"/>
  <c r="X35" i="5" l="1"/>
  <c r="X33" i="5"/>
  <c r="X32" i="5"/>
  <c r="X23" i="5"/>
  <c r="X29" i="5"/>
  <c r="X21" i="5"/>
  <c r="X8" i="5"/>
  <c r="H64" i="6"/>
  <c r="D64" i="6" s="1"/>
  <c r="C64" i="6"/>
  <c r="X5" i="5"/>
  <c r="X7" i="5"/>
  <c r="X30" i="5"/>
  <c r="X9" i="5"/>
  <c r="X22" i="5"/>
  <c r="X20" i="5"/>
  <c r="X10" i="5"/>
  <c r="C63" i="6"/>
  <c r="X6" i="5"/>
  <c r="X12" i="5"/>
  <c r="X13" i="5"/>
  <c r="X11" i="5"/>
  <c r="X31" i="5"/>
  <c r="X17" i="5"/>
  <c r="X15" i="5"/>
  <c r="X24" i="5"/>
  <c r="X27" i="5"/>
  <c r="X19" i="5"/>
  <c r="X25" i="5"/>
  <c r="X14" i="5"/>
  <c r="X28" i="5"/>
  <c r="X26" i="5"/>
  <c r="X16" i="5"/>
  <c r="G66" i="6"/>
  <c r="H66" i="6" s="1"/>
  <c r="H67" i="6" s="1"/>
  <c r="D2" i="6" s="1"/>
  <c r="D52" i="6"/>
  <c r="C52" i="6"/>
  <c r="D51" i="6"/>
  <c r="C51" i="6"/>
  <c r="S32" i="5"/>
  <c r="S33" i="5"/>
  <c r="S35" i="5"/>
  <c r="S11" i="5"/>
  <c r="S24" i="5"/>
  <c r="S14" i="5"/>
  <c r="S23" i="5"/>
  <c r="S9" i="5"/>
  <c r="S6" i="5"/>
  <c r="S31" i="5"/>
  <c r="S27" i="5"/>
  <c r="S28" i="5"/>
  <c r="S29" i="5"/>
  <c r="S5" i="5"/>
  <c r="S22" i="5"/>
  <c r="S19" i="5"/>
  <c r="S26" i="5"/>
  <c r="S12" i="5"/>
  <c r="S17" i="5"/>
  <c r="S20" i="5"/>
  <c r="S21" i="5"/>
  <c r="S7" i="5"/>
  <c r="S13" i="5"/>
  <c r="S15" i="5"/>
  <c r="S25" i="5"/>
  <c r="S16" i="5"/>
  <c r="S8" i="5"/>
  <c r="S30" i="5"/>
  <c r="S10"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<sst xmlns="http://schemas.openxmlformats.org/spreadsheetml/2006/main" count="21732" uniqueCount="15469">
  <si>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</si>
  <si>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</si>
  <si>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</si>
  <si>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</si>
  <si>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</si>
  <si>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</si>
  <si>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</si>
  <si>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</si>
  <si>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</si>
  <si>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</si>
  <si>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</si>
  <si>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</si>
  <si>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</si>
  <si>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</si>
  <si>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</si>
  <si>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</si>
  <si>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</si>
  <si>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</si>
  <si>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</si>
  <si>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</si>
  <si>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</si>
  <si>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</si>
  <si>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</si>
  <si>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</si>
  <si>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</si>
  <si>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</si>
  <si>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</si>
  <si>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</si>
  <si>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</si>
  <si>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</si>
  <si>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</si>
  <si>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</si>
  <si>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</si>
  <si>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</si>
  <si>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</si>
  <si>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</si>
  <si>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</si>
  <si>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</si>
  <si>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</si>
  <si>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</si>
  <si>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</si>
  <si>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</si>
  <si>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</si>
  <si>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</si>
  <si>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</si>
  <si>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</si>
  <si>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</si>
  <si>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</si>
  <si>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</si>
  <si>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</si>
  <si>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</si>
  <si>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</si>
  <si>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</si>
  <si>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</si>
  <si>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</si>
  <si>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</si>
  <si>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</si>
  <si>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</si>
  <si>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</si>
  <si>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</si>
  <si>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</si>
  <si>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</si>
  <si>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</si>
  <si>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</si>
  <si>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</si>
  <si>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</si>
  <si>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</si>
  <si>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</si>
  <si>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</si>
  <si>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</si>
  <si>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</si>
  <si>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</si>
  <si>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</si>
  <si>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</si>
  <si>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</si>
  <si>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</si>
  <si>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</si>
  <si>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</si>
  <si>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</si>
  <si>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</si>
  <si>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</si>
  <si>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</si>
  <si>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</si>
  <si>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</si>
  <si>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</si>
  <si>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</si>
  <si>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</si>
  <si>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</si>
  <si>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</si>
  <si>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</si>
  <si>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</si>
  <si>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</si>
  <si>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</si>
  <si>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</si>
  <si>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</si>
  <si>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</si>
  <si>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</si>
  <si>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</si>
  <si>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</si>
  <si>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</si>
  <si>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</si>
  <si>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</si>
  <si>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</si>
  <si>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</si>
  <si>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</si>
  <si>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</si>
  <si>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</si>
  <si>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</si>
  <si>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</si>
  <si>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</si>
  <si>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</si>
  <si>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</si>
  <si>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</si>
  <si>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</si>
  <si>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</si>
  <si>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</si>
  <si>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</si>
  <si>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</si>
  <si>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</si>
  <si>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</si>
  <si>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</si>
  <si>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</si>
  <si>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</si>
  <si>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</si>
  <si>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</si>
  <si>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</si>
  <si>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</si>
  <si>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</si>
  <si>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</si>
  <si>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</si>
  <si>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</si>
  <si>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</si>
  <si>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</si>
  <si>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</si>
  <si>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</si>
  <si>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</si>
  <si>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</si>
  <si>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</si>
  <si>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</si>
  <si>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</si>
  <si>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</si>
  <si>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</si>
  <si>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</si>
  <si>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</si>
  <si>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</si>
  <si>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</si>
  <si>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</si>
  <si>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</si>
  <si>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</si>
  <si>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</si>
  <si>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</si>
  <si>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</si>
  <si>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</si>
  <si>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</si>
  <si>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</si>
  <si>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</si>
  <si>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</si>
  <si>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</si>
  <si>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</si>
  <si>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</si>
  <si>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</si>
  <si>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</si>
  <si>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</si>
  <si>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</si>
  <si>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</si>
  <si>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</si>
  <si>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</si>
  <si>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</si>
  <si>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</si>
  <si>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</si>
  <si>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</si>
  <si>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</si>
  <si>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</si>
  <si>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</si>
  <si>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</si>
  <si>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</si>
  <si>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</si>
  <si>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</si>
  <si>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</si>
  <si>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</si>
  <si>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</si>
  <si>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</si>
  <si>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</si>
  <si>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</si>
  <si>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</si>
  <si>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</si>
  <si>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</si>
  <si>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</si>
  <si>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</si>
  <si>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</si>
  <si>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</si>
  <si>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</si>
  <si>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</si>
  <si>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</si>
  <si>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</si>
  <si>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</si>
  <si>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</si>
  <si>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</si>
  <si>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</si>
  <si>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</si>
  <si>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</si>
  <si>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</si>
  <si>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</si>
  <si>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</si>
  <si>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</si>
  <si>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</si>
  <si>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</si>
  <si>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</si>
  <si>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</si>
  <si>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</si>
  <si>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</si>
  <si>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</si>
  <si>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</si>
  <si>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</si>
  <si>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</si>
  <si>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</si>
  <si>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</si>
  <si>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</si>
  <si>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</si>
  <si>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</si>
  <si>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</si>
  <si>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</si>
  <si>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</si>
  <si>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</si>
  <si>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</si>
  <si>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</si>
  <si>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</si>
  <si>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</si>
  <si>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</si>
  <si>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</si>
  <si>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</si>
  <si>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</si>
  <si>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</si>
  <si>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</si>
  <si>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</si>
  <si>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</si>
  <si>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</si>
  <si>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</si>
  <si>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</si>
  <si>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</si>
  <si>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</si>
  <si>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</si>
  <si>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</si>
  <si>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</si>
  <si>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</si>
  <si>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</si>
  <si>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</si>
  <si>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</si>
  <si>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</si>
  <si>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</si>
  <si>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</si>
  <si>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</si>
  <si>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</si>
  <si>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</si>
  <si>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</si>
  <si>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</si>
  <si>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</si>
  <si>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</si>
  <si>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</si>
  <si>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</si>
  <si>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</si>
  <si>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</si>
  <si>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</si>
  <si>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</si>
  <si>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</si>
  <si>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</si>
  <si>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</si>
  <si>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</si>
  <si>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</si>
  <si>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</si>
  <si>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</si>
  <si>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</si>
  <si>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</si>
  <si>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</si>
  <si>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</si>
  <si>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</si>
  <si>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</si>
  <si>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</si>
  <si>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</si>
  <si>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</si>
  <si>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</si>
  <si>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</si>
  <si>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</si>
  <si>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</si>
  <si>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</si>
  <si>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</si>
  <si>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</si>
  <si>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</si>
  <si>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</si>
  <si>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</si>
  <si>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</si>
  <si>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</si>
  <si>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</si>
  <si>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</si>
  <si>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</si>
  <si>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</si>
  <si>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</si>
  <si>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</si>
  <si>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</si>
  <si>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</si>
  <si>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</si>
  <si>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</si>
  <si>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</si>
  <si>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</si>
  <si>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</si>
  <si>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</si>
  <si>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</si>
  <si>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</si>
  <si>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</si>
  <si>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</si>
  <si>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</si>
  <si>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</si>
  <si>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</si>
  <si>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</si>
  <si>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</si>
  <si>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</si>
  <si>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</si>
  <si>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</si>
  <si>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</si>
  <si>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</si>
  <si>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</si>
  <si>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</si>
  <si>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</si>
  <si>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</si>
  <si>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</si>
  <si>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</si>
  <si>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</si>
  <si>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</si>
  <si>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</si>
  <si>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</si>
  <si>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</si>
  <si>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</si>
  <si>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</si>
  <si>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</si>
  <si>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</si>
  <si>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</si>
  <si>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</si>
  <si>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</si>
  <si>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</si>
  <si>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</si>
  <si>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</si>
  <si>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</si>
  <si>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</si>
  <si>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</si>
  <si>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</si>
  <si>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</si>
  <si>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</si>
  <si>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</si>
  <si>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</si>
  <si>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</si>
  <si>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</si>
  <si>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</si>
  <si>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</si>
  <si>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</si>
  <si>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</si>
  <si>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</si>
  <si>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</si>
  <si>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</si>
  <si>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</si>
  <si>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</si>
  <si>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</si>
  <si>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</si>
  <si>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</si>
  <si>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</si>
  <si>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</si>
  <si>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</si>
  <si>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</si>
  <si>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</si>
  <si>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</si>
  <si>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</si>
  <si>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</si>
  <si>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</si>
  <si>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</si>
  <si>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</si>
  <si>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</si>
  <si>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</si>
  <si>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</si>
  <si>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</si>
  <si>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</si>
  <si>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</si>
  <si>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</si>
  <si>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</si>
  <si>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</si>
  <si>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</si>
  <si>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</si>
  <si>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</si>
  <si>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</si>
  <si>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</si>
  <si>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</si>
  <si>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</si>
  <si>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</si>
  <si>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</si>
  <si>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</si>
  <si>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</si>
  <si>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</si>
  <si>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</si>
  <si>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</si>
  <si>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</si>
  <si>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</si>
  <si>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</si>
  <si>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</si>
  <si>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</si>
  <si>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</si>
  <si>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</si>
  <si>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</si>
  <si>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</si>
  <si>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</si>
  <si>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</si>
  <si>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</si>
  <si>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</si>
  <si>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</si>
  <si>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</si>
  <si>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</si>
  <si>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</si>
  <si>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</si>
  <si>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</si>
  <si>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</si>
  <si>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</si>
  <si>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</si>
  <si>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</si>
  <si>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</si>
  <si>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</si>
  <si>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</si>
  <si>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</si>
  <si>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</si>
  <si>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</si>
  <si>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</si>
  <si>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</si>
  <si>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</si>
  <si>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</si>
  <si>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</si>
  <si>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</si>
  <si>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</si>
  <si>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</si>
  <si>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</si>
  <si>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</si>
  <si>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</si>
  <si>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</si>
  <si>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</si>
  <si>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</si>
  <si>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</si>
  <si>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</si>
  <si>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</si>
  <si>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</si>
  <si>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</si>
  <si>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</si>
  <si>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</si>
  <si>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</si>
  <si>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</si>
  <si>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</si>
  <si>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</si>
  <si>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</si>
  <si>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</si>
  <si>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</si>
  <si>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</si>
  <si>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</si>
  <si>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</si>
  <si>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</si>
  <si>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</si>
  <si>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</si>
  <si>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</si>
  <si>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</si>
  <si>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</si>
  <si>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</si>
  <si>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</si>
  <si>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</si>
  <si>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</si>
  <si>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</si>
  <si>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</si>
  <si>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</si>
  <si>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</si>
  <si>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</si>
  <si>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</si>
  <si>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</si>
  <si>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</si>
  <si>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</si>
  <si>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</si>
  <si>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</si>
  <si>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</si>
  <si>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</si>
  <si>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</si>
  <si>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</si>
  <si>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</si>
  <si>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</si>
  <si>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</si>
  <si>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</si>
  <si>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</si>
  <si>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</si>
  <si>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</si>
  <si>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</si>
  <si>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</si>
  <si>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</si>
  <si>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</si>
  <si>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</si>
  <si>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</si>
  <si>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</si>
  <si>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</si>
  <si>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</si>
  <si>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</si>
  <si>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</si>
  <si>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</si>
  <si>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</si>
  <si>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</si>
  <si>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</si>
  <si>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</si>
  <si>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</si>
  <si>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</si>
  <si>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</si>
  <si>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</si>
  <si>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</si>
  <si>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</si>
  <si>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</si>
  <si>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</si>
  <si>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</si>
  <si>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</si>
  <si>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</si>
  <si>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</si>
  <si>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</si>
  <si>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</si>
  <si>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</si>
  <si>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</si>
  <si>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</si>
  <si>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</si>
  <si>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</si>
  <si>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</si>
  <si>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</si>
  <si>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</si>
  <si>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</si>
  <si>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</si>
  <si>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</si>
  <si>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</si>
  <si>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</si>
  <si>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</si>
  <si>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</si>
  <si>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</si>
  <si>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</si>
  <si>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</si>
  <si>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</si>
  <si>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</si>
  <si>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</si>
  <si>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</si>
  <si>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</si>
  <si>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</si>
  <si>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</si>
  <si>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</si>
  <si>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</si>
  <si>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</si>
  <si>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</si>
  <si>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</si>
  <si>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</si>
  <si>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</si>
  <si>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</si>
  <si>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</si>
  <si>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</si>
  <si>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</si>
  <si>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</si>
  <si>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</si>
  <si>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</si>
  <si>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</si>
  <si>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</si>
  <si>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</si>
  <si>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</si>
  <si>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</si>
  <si>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</si>
  <si>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</si>
  <si>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</si>
  <si>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</si>
  <si>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</si>
  <si>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</si>
  <si>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</si>
  <si>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</si>
  <si>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</si>
  <si>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</si>
  <si>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</si>
  <si>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</si>
  <si>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</si>
  <si>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</si>
  <si>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</si>
  <si>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</si>
  <si>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</si>
  <si>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</si>
  <si>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</si>
  <si>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</si>
  <si>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</si>
  <si>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</si>
  <si>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</si>
  <si>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</si>
  <si>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</si>
  <si>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</si>
  <si>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</si>
  <si>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</si>
  <si>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</si>
  <si>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</si>
  <si>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</si>
  <si>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</si>
  <si>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</si>
  <si>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</si>
  <si>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</si>
  <si>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</si>
  <si>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</si>
  <si>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</si>
  <si>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</si>
  <si>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</si>
  <si>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</si>
  <si>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</si>
  <si>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</si>
  <si>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</si>
  <si>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</si>
  <si>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</si>
  <si>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</si>
  <si>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</si>
  <si>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</si>
  <si>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</si>
  <si>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</si>
  <si>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</si>
  <si>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</si>
  <si>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</si>
  <si>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</si>
  <si>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</si>
  <si>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</si>
  <si>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</si>
  <si>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</si>
  <si>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</si>
  <si>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</si>
  <si>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</si>
  <si>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</si>
  <si>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</si>
  <si>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</si>
  <si>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</si>
  <si>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</si>
  <si>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</si>
  <si>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</si>
  <si>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</si>
  <si>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</si>
  <si>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</si>
  <si>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</si>
  <si>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</si>
  <si>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</si>
  <si>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</si>
  <si>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</si>
  <si>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</si>
  <si>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</si>
  <si>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</si>
  <si>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</si>
  <si>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</si>
  <si>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</si>
  <si>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</si>
  <si>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</si>
  <si>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</si>
  <si>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</si>
  <si>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</si>
  <si>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</si>
  <si>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</si>
  <si>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</si>
  <si>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</si>
  <si>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</si>
  <si>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</si>
  <si>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</si>
  <si>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</si>
  <si>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</si>
  <si>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</si>
  <si>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</si>
  <si>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</si>
  <si>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</si>
  <si>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</si>
  <si>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</si>
  <si>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</si>
  <si>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</si>
  <si>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</si>
  <si>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</si>
  <si>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</si>
  <si>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</si>
  <si>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</si>
  <si>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</si>
  <si>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</si>
  <si>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</si>
  <si>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</si>
  <si>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</si>
  <si>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</si>
  <si>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</si>
  <si>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</si>
  <si>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</si>
  <si>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</si>
  <si>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</si>
  <si>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</si>
  <si>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</si>
  <si>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</si>
  <si>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</si>
  <si>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</si>
  <si>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</si>
  <si>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</si>
  <si>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</si>
  <si>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</si>
  <si>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</si>
  <si>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</si>
  <si>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</si>
  <si>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</si>
  <si>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</si>
  <si>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</si>
  <si>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</si>
  <si>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</si>
  <si>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</si>
  <si>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</si>
  <si>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</si>
  <si>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</si>
  <si>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</si>
  <si>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</si>
  <si>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</si>
  <si>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</si>
  <si>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</si>
  <si>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</si>
  <si>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</si>
  <si>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</si>
  <si>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</si>
  <si>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</si>
  <si>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</si>
  <si>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</si>
  <si>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</si>
  <si>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</si>
  <si>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</si>
  <si>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</si>
  <si>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</si>
  <si>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</si>
  <si>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</si>
  <si>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</si>
  <si>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</si>
  <si>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</si>
  <si>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</si>
  <si>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</si>
  <si>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</si>
  <si>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</si>
  <si>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</si>
  <si>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</si>
  <si>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</si>
  <si>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</si>
  <si>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</si>
  <si>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</si>
  <si>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</si>
  <si>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</si>
  <si>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</si>
  <si>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</si>
  <si>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</si>
  <si>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</si>
  <si>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</si>
  <si>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</si>
  <si>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</si>
  <si>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</si>
  <si>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</si>
  <si>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</si>
  <si>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</si>
  <si>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</si>
  <si>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</si>
  <si>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</si>
  <si>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</si>
  <si>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</si>
  <si>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</si>
  <si>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</si>
  <si>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</si>
  <si>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</si>
  <si>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</si>
  <si>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</si>
  <si>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</si>
  <si>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</si>
  <si>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</si>
  <si>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</si>
  <si>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</si>
  <si>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</si>
  <si>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</si>
  <si>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</si>
  <si>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</si>
  <si>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</si>
  <si>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</si>
  <si>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</si>
  <si>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</si>
  <si>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</si>
  <si>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</si>
  <si>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</si>
  <si>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</si>
  <si>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</si>
  <si>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</si>
  <si>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</si>
  <si>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</si>
  <si>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</si>
  <si>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</si>
  <si>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</si>
  <si>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</si>
  <si>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</si>
  <si>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</si>
  <si>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</si>
  <si>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</si>
  <si>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</si>
  <si>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</si>
  <si>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</si>
  <si>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</si>
  <si>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</si>
  <si>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</si>
  <si>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</si>
  <si>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</si>
  <si>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</si>
  <si>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</si>
  <si>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</si>
  <si>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</si>
  <si>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</si>
  <si>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</si>
  <si>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</si>
  <si>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</si>
  <si>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</si>
  <si>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</si>
  <si>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</si>
  <si>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</si>
  <si>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</si>
  <si>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</si>
  <si>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</si>
  <si>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</si>
  <si>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</si>
  <si>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</si>
  <si>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</si>
  <si>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</si>
  <si>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</si>
  <si>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</si>
  <si>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</si>
  <si>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</si>
  <si>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</si>
  <si>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</si>
  <si>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</si>
  <si>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</si>
  <si>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</si>
  <si>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</si>
  <si>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</si>
  <si>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</si>
  <si>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</si>
  <si>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</si>
  <si>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</si>
  <si>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</si>
  <si>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</si>
  <si>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</si>
  <si>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</si>
  <si>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</si>
  <si>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</si>
  <si>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</si>
  <si>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</si>
  <si>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</si>
  <si>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</si>
  <si>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</si>
  <si>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</si>
  <si>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</si>
  <si>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</si>
  <si>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</si>
  <si>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</si>
  <si>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</si>
  <si>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</si>
  <si>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</si>
  <si>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</si>
  <si>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</si>
  <si>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</si>
  <si>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</si>
  <si>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</si>
  <si>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</si>
  <si>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</si>
  <si>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</si>
  <si>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</si>
  <si>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</si>
  <si>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</si>
  <si>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</si>
  <si>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</si>
  <si>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</si>
  <si>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</si>
  <si>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</si>
  <si>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</si>
  <si>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</si>
  <si>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</si>
  <si>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</si>
  <si>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</si>
  <si>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</si>
  <si>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</si>
  <si>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</si>
  <si>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</si>
  <si>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</si>
  <si>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</si>
  <si>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</si>
  <si>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</si>
  <si>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</si>
  <si>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</si>
  <si>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</si>
  <si>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</si>
  <si>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</si>
  <si>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</si>
  <si>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</si>
  <si>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</si>
  <si>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</si>
  <si>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</si>
  <si>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</si>
  <si>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</si>
  <si>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</si>
  <si>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</si>
  <si>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</si>
  <si>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</si>
  <si>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</si>
  <si>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</si>
  <si>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</si>
  <si>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</si>
  <si>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</si>
  <si>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</si>
  <si>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</si>
  <si>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</si>
  <si>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</si>
  <si>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</si>
  <si>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</si>
  <si>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</si>
  <si>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</si>
  <si>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</si>
  <si>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</si>
  <si>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</si>
  <si>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</si>
  <si>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</si>
  <si>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</si>
  <si>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</si>
  <si>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</si>
  <si>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</si>
  <si>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</si>
  <si>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</si>
  <si>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</si>
  <si>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</si>
  <si>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</si>
  <si>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</si>
  <si>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</si>
  <si>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</si>
  <si>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</si>
  <si>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</si>
  <si>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</si>
  <si>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</si>
  <si>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</si>
  <si>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</si>
  <si>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</si>
  <si>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</si>
  <si>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</si>
  <si>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</si>
  <si>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</si>
  <si>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</si>
  <si>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</si>
  <si>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</si>
  <si>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</si>
  <si>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</si>
  <si>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</si>
  <si>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</si>
  <si>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</si>
  <si>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</si>
  <si>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</si>
  <si>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</si>
  <si>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</si>
  <si>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</si>
  <si>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</si>
  <si>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</si>
  <si>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</si>
  <si>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</si>
  <si>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</si>
  <si>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</si>
  <si>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</si>
  <si>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</si>
  <si>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</si>
  <si>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</si>
  <si>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</si>
  <si>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</si>
  <si>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</si>
  <si>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</si>
  <si>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</si>
  <si>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</si>
  <si>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</si>
  <si>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</si>
  <si>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</si>
  <si>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</si>
  <si>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</si>
  <si>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</si>
  <si>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</si>
  <si>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</si>
  <si>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</si>
  <si>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</si>
  <si>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</si>
  <si>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</si>
  <si>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</si>
  <si>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</si>
  <si>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</si>
  <si>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</si>
  <si>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</si>
  <si>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</si>
  <si>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</si>
  <si>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</si>
  <si>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</si>
  <si>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</si>
  <si>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</si>
  <si>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</si>
  <si>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</si>
  <si>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</si>
  <si>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</si>
  <si>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</si>
  <si>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</si>
  <si>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</si>
  <si>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</si>
  <si>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</si>
  <si>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</si>
  <si>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</si>
  <si>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</si>
  <si>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</si>
  <si>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</si>
  <si>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</si>
  <si>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</si>
  <si>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</si>
  <si>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</si>
  <si>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</si>
  <si>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</si>
  <si>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</si>
  <si>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</si>
  <si>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</si>
  <si>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</si>
  <si>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</si>
  <si>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</si>
  <si>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</si>
  <si>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</si>
  <si>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</si>
  <si>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</si>
  <si>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</si>
  <si>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</si>
  <si>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</si>
  <si>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</si>
  <si>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</si>
  <si>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</si>
  <si>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</si>
  <si>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</si>
  <si>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</si>
  <si>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</si>
  <si>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</si>
  <si>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</si>
  <si>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</si>
  <si>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</si>
  <si>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</si>
  <si>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</si>
  <si>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</si>
  <si>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</si>
  <si>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</si>
  <si>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</si>
  <si>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</si>
  <si>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</si>
  <si>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</si>
  <si>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</si>
  <si>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</si>
  <si>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</si>
  <si>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</si>
  <si>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</si>
  <si>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</si>
  <si>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</si>
  <si>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</si>
  <si>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</si>
  <si>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</si>
  <si>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</si>
  <si>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</si>
  <si>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</si>
  <si>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</si>
  <si>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</si>
  <si>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</si>
  <si>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</si>
  <si>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</si>
  <si>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</si>
  <si>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</si>
  <si>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</si>
  <si>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</si>
  <si>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</si>
  <si>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</si>
  <si>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</si>
  <si>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</si>
  <si>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</si>
  <si>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</si>
  <si>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</si>
  <si>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</si>
  <si>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</si>
  <si>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</si>
  <si>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</si>
  <si>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</si>
  <si>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</si>
  <si>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</si>
  <si>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</si>
  <si>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</si>
  <si>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</si>
  <si>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</si>
  <si>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</si>
  <si>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</si>
  <si>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</si>
  <si>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</si>
  <si>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</si>
  <si>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</si>
  <si>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</si>
  <si>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</si>
  <si>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</si>
  <si>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</si>
  <si>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</si>
  <si>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</si>
  <si>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</si>
  <si>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</si>
  <si>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</si>
  <si>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</si>
  <si>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</si>
  <si>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</si>
  <si>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</si>
  <si>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</si>
  <si>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</si>
  <si>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</si>
  <si>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</si>
  <si>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</si>
  <si>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</si>
  <si>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</si>
  <si>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</si>
  <si>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</si>
  <si>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</si>
  <si>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</si>
  <si>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</si>
  <si>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</si>
  <si>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</si>
  <si>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</si>
  <si>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</si>
  <si>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</si>
  <si>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</si>
  <si>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</si>
  <si>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</si>
  <si>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</si>
  <si>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</si>
  <si>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</si>
  <si>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</si>
  <si>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</si>
  <si>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</si>
  <si>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</si>
  <si>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</si>
  <si>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</si>
  <si>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</si>
  <si>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</si>
  <si>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</si>
  <si>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</si>
  <si>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</si>
  <si>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</si>
  <si>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</si>
  <si>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</si>
  <si>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</si>
  <si>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</si>
  <si>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</si>
  <si>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</si>
  <si>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</si>
  <si>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</si>
  <si>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</si>
  <si>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</si>
  <si>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</si>
  <si>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</si>
  <si>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</si>
  <si>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</si>
  <si>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</si>
  <si>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</si>
  <si>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</si>
  <si>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</si>
  <si>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</si>
  <si>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</si>
  <si>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</si>
  <si>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</si>
  <si>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</si>
  <si>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</si>
  <si>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</si>
  <si>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</si>
  <si>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</si>
  <si>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</si>
  <si>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</si>
  <si>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</si>
  <si>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</si>
  <si>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</si>
  <si>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</si>
  <si>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</si>
  <si>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</si>
  <si>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</si>
  <si>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</si>
  <si>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</si>
  <si>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</si>
  <si>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</si>
  <si>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</si>
  <si>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</si>
  <si>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</si>
  <si>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</si>
  <si>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</si>
  <si>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</si>
  <si>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</si>
  <si>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</si>
  <si>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</si>
  <si>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</si>
  <si>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</si>
  <si>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</si>
  <si>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</si>
  <si>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</si>
  <si>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</si>
  <si>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</si>
  <si>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</si>
  <si>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</si>
  <si>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</si>
  <si>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</si>
  <si>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</si>
  <si>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</si>
  <si>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</si>
  <si>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</si>
  <si>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</si>
  <si>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</si>
  <si>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</si>
  <si>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</si>
  <si>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</si>
  <si>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</si>
  <si>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</si>
  <si>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</si>
  <si>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</si>
  <si>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</si>
  <si>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</si>
  <si>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</si>
  <si>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</si>
  <si>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</si>
  <si>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</si>
  <si>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</si>
  <si>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</si>
  <si>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</si>
  <si>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</si>
  <si>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</si>
  <si>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</si>
  <si>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</si>
  <si>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</si>
  <si>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</si>
  <si>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</si>
  <si>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</si>
  <si>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</si>
  <si>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</si>
  <si>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</si>
  <si>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</si>
  <si>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</si>
  <si>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</si>
  <si>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</si>
  <si>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</si>
  <si>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</si>
  <si>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</si>
  <si>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</si>
  <si>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</si>
  <si>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</si>
  <si>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</si>
  <si>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</si>
  <si>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</si>
  <si>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</si>
  <si>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</si>
  <si>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</si>
  <si>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</si>
  <si>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</si>
  <si>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</si>
  <si>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</si>
  <si>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</si>
  <si>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</si>
  <si>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</si>
  <si>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</si>
  <si>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</si>
  <si>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</si>
  <si>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</si>
  <si>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</si>
  <si>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</si>
  <si>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</si>
  <si>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</si>
  <si>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</si>
  <si>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</si>
  <si>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</si>
  <si>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</si>
  <si>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</si>
  <si>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</si>
  <si>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</si>
  <si>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</si>
  <si>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</si>
  <si>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</si>
  <si>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</si>
  <si>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</si>
  <si>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</si>
  <si>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</si>
  <si>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</si>
  <si>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</si>
  <si>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</si>
  <si>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</si>
  <si>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</si>
  <si>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</si>
  <si>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</si>
  <si>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</si>
  <si>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</si>
  <si>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</si>
  <si>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</si>
  <si>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</si>
  <si>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</si>
  <si>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</si>
  <si>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</si>
  <si>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</si>
  <si>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</si>
  <si>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</si>
  <si>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</si>
  <si>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</si>
  <si>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</si>
  <si>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</si>
  <si>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</si>
  <si>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</si>
  <si>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</si>
  <si>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</si>
  <si>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</si>
  <si>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</si>
  <si>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</si>
  <si>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</si>
  <si>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</si>
  <si>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</si>
  <si>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</si>
  <si>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</si>
  <si>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</si>
  <si>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</si>
  <si>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</si>
  <si>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</si>
  <si>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</si>
  <si>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</si>
  <si>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</si>
  <si>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</si>
  <si>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</si>
  <si>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</si>
  <si>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</si>
  <si>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</si>
  <si>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</si>
  <si>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</si>
  <si>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</si>
  <si>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</si>
  <si>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</si>
  <si>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</si>
  <si>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</si>
  <si>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</si>
  <si>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</si>
  <si>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</si>
  <si>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</si>
  <si>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</si>
  <si>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</si>
  <si>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</si>
  <si>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</si>
  <si>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</si>
  <si>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</si>
  <si>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</si>
  <si>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</si>
  <si>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</si>
  <si>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</si>
  <si>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</si>
  <si>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</si>
  <si>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</si>
  <si>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</si>
  <si>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</si>
  <si>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</si>
  <si>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</si>
  <si>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</si>
  <si>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</si>
  <si>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</si>
  <si>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</si>
  <si>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</si>
  <si>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</si>
  <si>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</si>
  <si>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</si>
  <si>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</si>
  <si>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</si>
  <si>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</si>
  <si>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</si>
  <si>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</si>
  <si>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</si>
  <si>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</si>
  <si>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</si>
  <si>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</si>
  <si>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</si>
  <si>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</si>
  <si>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</si>
  <si>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</si>
  <si>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</si>
  <si>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</si>
  <si>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</si>
  <si>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</si>
  <si>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</si>
  <si>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</si>
  <si>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</si>
  <si>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</si>
  <si>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</si>
  <si>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</si>
  <si>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</si>
  <si>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</si>
  <si>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</si>
  <si>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</si>
  <si>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</si>
  <si>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</si>
  <si>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</si>
  <si>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</si>
  <si>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</si>
  <si>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</si>
  <si>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</si>
  <si>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</si>
  <si>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</si>
  <si>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</si>
  <si>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</si>
  <si>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</si>
  <si>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</si>
  <si>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</si>
  <si>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</si>
  <si>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</si>
  <si>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</si>
  <si>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</si>
  <si>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</si>
  <si>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</si>
  <si>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</si>
  <si>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</si>
  <si>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</si>
  <si>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</si>
  <si>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</si>
  <si>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</si>
  <si>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</si>
  <si>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</si>
  <si>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</si>
  <si>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</si>
  <si>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</si>
  <si>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</si>
  <si>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</si>
  <si>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</si>
  <si>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</si>
  <si>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</si>
  <si>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</si>
  <si>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</si>
  <si>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</si>
  <si>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</si>
  <si>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</si>
  <si>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</si>
  <si>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</si>
  <si>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</si>
  <si>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</si>
  <si>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</si>
  <si>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</si>
  <si>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</si>
  <si>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</si>
  <si>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</si>
  <si>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</si>
  <si>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</si>
  <si>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</si>
  <si>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</si>
  <si>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</si>
  <si>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</si>
  <si>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</si>
  <si>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</si>
  <si>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</si>
  <si>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</si>
  <si>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</si>
  <si>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</si>
  <si>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</si>
  <si>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</si>
  <si>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</si>
  <si>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</si>
  <si>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</si>
  <si>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</si>
  <si>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</si>
  <si>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</si>
  <si>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</si>
  <si>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</si>
  <si>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</si>
  <si>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</si>
  <si>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</si>
  <si>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</si>
  <si>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</si>
  <si>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</si>
  <si>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</si>
  <si>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</si>
  <si>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</si>
  <si>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</si>
  <si>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</si>
  <si>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</si>
  <si>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</si>
  <si>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</si>
  <si>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</si>
  <si>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</si>
  <si>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</si>
  <si>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</si>
  <si>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</si>
  <si>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</si>
  <si>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</si>
  <si>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</si>
  <si>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</si>
  <si>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</si>
  <si>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</si>
  <si>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</si>
  <si>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</si>
  <si>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</si>
  <si>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</si>
  <si>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</si>
  <si>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</si>
  <si>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</si>
  <si>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</si>
  <si>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</si>
  <si>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</si>
  <si>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</si>
  <si>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</si>
  <si>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</si>
  <si>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</si>
  <si>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</si>
  <si>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</si>
  <si>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</si>
  <si>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</si>
  <si>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</si>
  <si>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</si>
  <si>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</si>
  <si>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</si>
  <si>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</si>
  <si>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</si>
  <si>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</si>
  <si>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</si>
  <si>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</si>
  <si>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</si>
  <si>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</si>
  <si>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</si>
  <si>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</si>
  <si>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</si>
  <si>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</si>
  <si>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</si>
  <si>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</si>
  <si>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</si>
  <si>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</si>
  <si>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</si>
  <si>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</si>
  <si>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</si>
  <si>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</si>
  <si>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</si>
  <si>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</si>
  <si>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</si>
  <si>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</si>
  <si>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</si>
  <si>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</si>
  <si>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</si>
  <si>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</si>
  <si>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</si>
  <si>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</si>
  <si>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</si>
  <si>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</si>
  <si>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</si>
  <si>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</si>
  <si>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</si>
  <si>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</si>
  <si>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</si>
  <si>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</si>
  <si>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</si>
  <si>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</si>
  <si>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</si>
  <si>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</si>
  <si>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</si>
  <si>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</si>
  <si>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</si>
  <si>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</si>
  <si>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</si>
  <si>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</si>
  <si>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</si>
  <si>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</si>
  <si>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</si>
  <si>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</si>
  <si>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</si>
  <si>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</si>
  <si>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</si>
  <si>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</si>
  <si>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</si>
  <si>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</si>
  <si>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</si>
  <si>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</si>
  <si>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</si>
  <si>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</si>
  <si>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</si>
  <si>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</si>
  <si>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</si>
  <si>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</si>
  <si>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</si>
  <si>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</si>
  <si>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</si>
  <si>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</si>
  <si>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</si>
  <si>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</si>
  <si>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</si>
  <si>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</si>
  <si>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</si>
  <si>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</si>
  <si>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</si>
  <si>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</si>
  <si>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</si>
  <si>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</si>
  <si>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</si>
  <si>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</si>
  <si>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</si>
  <si>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</si>
  <si>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</si>
  <si>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</si>
  <si>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</si>
  <si>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</si>
  <si>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</si>
  <si>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</si>
  <si>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</si>
  <si>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</si>
  <si>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</si>
  <si>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</si>
  <si>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</si>
  <si>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</si>
  <si>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</si>
  <si>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</si>
  <si>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</si>
  <si>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</si>
  <si>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</si>
  <si>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</si>
  <si>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</si>
  <si>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</si>
  <si>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</si>
  <si>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</si>
  <si>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</si>
  <si>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</si>
  <si>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</si>
  <si>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</si>
  <si>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</si>
  <si>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</si>
  <si>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</si>
  <si>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</si>
  <si>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</si>
  <si>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</si>
  <si>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</si>
  <si>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</si>
  <si>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</si>
  <si>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</si>
  <si>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</si>
  <si>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</si>
  <si>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</si>
  <si>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</si>
  <si>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</si>
  <si>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</si>
  <si>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</si>
  <si>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</si>
  <si>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</si>
  <si>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</si>
  <si>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</si>
  <si>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</si>
  <si>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</si>
  <si>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</si>
  <si>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</si>
  <si>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</si>
  <si>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</si>
  <si>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</si>
  <si>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</si>
  <si>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</si>
  <si>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</si>
  <si>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</si>
  <si>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</si>
  <si>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</si>
  <si>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</si>
  <si>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</si>
  <si>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</si>
  <si>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</si>
  <si>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</si>
  <si>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</si>
  <si>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</si>
  <si>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</si>
  <si>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</si>
  <si>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</si>
  <si>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</si>
  <si>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</si>
  <si>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</si>
  <si>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</si>
  <si>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</si>
  <si>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</si>
  <si>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</si>
  <si>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</si>
  <si>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</si>
  <si>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</si>
  <si>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</si>
  <si>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</si>
  <si>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</si>
  <si>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</si>
  <si>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</si>
  <si>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</si>
  <si>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</si>
  <si>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</si>
  <si>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</si>
  <si>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</si>
  <si>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</si>
  <si>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</si>
  <si>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</si>
  <si>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</si>
  <si>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</si>
  <si>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</si>
  <si>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</si>
  <si>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</si>
  <si>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</si>
  <si>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</si>
  <si>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</si>
  <si>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</si>
  <si>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</si>
  <si>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</si>
  <si>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</si>
  <si>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</si>
  <si>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</si>
  <si>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</si>
  <si>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</si>
  <si>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</si>
  <si>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</si>
  <si>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</si>
  <si>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</si>
  <si>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</si>
  <si>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</si>
  <si>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</si>
  <si>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</si>
  <si>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</si>
  <si>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</si>
  <si>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</si>
  <si>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</si>
  <si>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</si>
  <si>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</si>
  <si>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</si>
  <si>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</si>
  <si>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</si>
  <si>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</si>
  <si>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</si>
  <si>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</si>
  <si>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</si>
  <si>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</si>
  <si>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</si>
  <si>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</si>
  <si>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</si>
  <si>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</si>
  <si>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</si>
  <si>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</si>
  <si>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</si>
  <si>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</si>
  <si>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</si>
  <si>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</si>
  <si>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</si>
  <si>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</si>
  <si>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</si>
  <si>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</si>
  <si>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</si>
  <si>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</si>
  <si>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</si>
  <si>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</si>
  <si>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</si>
  <si>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</si>
  <si>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</si>
  <si>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</si>
  <si>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</si>
  <si>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</si>
  <si>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</si>
  <si>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</si>
  <si>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</si>
  <si>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</si>
  <si>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</si>
  <si>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</si>
  <si>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</si>
  <si>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</si>
  <si>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</si>
  <si>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</si>
  <si>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</si>
  <si>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</si>
  <si>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</si>
  <si>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</si>
  <si>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</si>
  <si>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</si>
  <si>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</si>
  <si>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</si>
  <si>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</si>
  <si>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</si>
  <si>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</si>
  <si>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</si>
  <si>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</si>
  <si>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</si>
  <si>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</si>
  <si>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</si>
  <si>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</si>
  <si>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</si>
  <si>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</si>
  <si>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</si>
  <si>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</si>
  <si>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</si>
  <si>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</si>
  <si>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</si>
  <si>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</si>
  <si>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</si>
  <si>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</si>
  <si>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</si>
  <si>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</si>
  <si>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</si>
  <si>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</si>
  <si>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</si>
  <si>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</si>
  <si>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</si>
  <si>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</si>
  <si>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</si>
  <si>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</si>
  <si>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</si>
  <si>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</si>
  <si>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</si>
  <si>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</si>
  <si>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</si>
  <si>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</si>
  <si>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</si>
  <si>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</si>
  <si>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</si>
  <si>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</si>
  <si>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</si>
  <si>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</si>
  <si>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</si>
  <si>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</si>
  <si>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</si>
  <si>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</si>
  <si>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</si>
  <si>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</si>
  <si>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</si>
  <si>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</si>
  <si>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</si>
  <si>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</si>
  <si>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</si>
  <si>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</si>
  <si>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</si>
  <si>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</si>
  <si>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</si>
  <si>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</si>
  <si>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</si>
  <si>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</si>
  <si>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</si>
  <si>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</si>
  <si>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</si>
  <si>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</si>
  <si>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</si>
  <si>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</si>
  <si>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</si>
  <si>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</si>
  <si>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</si>
  <si>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</si>
  <si>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</si>
  <si>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</si>
  <si>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</si>
  <si>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</si>
  <si>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</si>
  <si>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</si>
  <si>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</si>
  <si>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</si>
  <si>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</si>
  <si>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</si>
  <si>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</si>
  <si>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</si>
  <si>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</si>
  <si>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</si>
  <si>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</si>
  <si>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</si>
  <si>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</si>
  <si>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</si>
  <si>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</si>
  <si>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</si>
  <si>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</si>
  <si>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</si>
  <si>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</si>
  <si>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</si>
  <si>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</si>
  <si>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</si>
  <si>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</si>
  <si>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</si>
  <si>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</si>
  <si>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</si>
  <si>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</si>
  <si>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</si>
  <si>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</si>
  <si>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</si>
  <si>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</si>
  <si>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</si>
  <si>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</si>
  <si>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</si>
  <si>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</si>
  <si>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</si>
  <si>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</si>
  <si>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</si>
  <si>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</si>
  <si>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</si>
  <si>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</si>
  <si>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</si>
  <si>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</si>
  <si>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</si>
  <si>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</si>
  <si>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</si>
  <si>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</si>
  <si>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</si>
  <si>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</si>
  <si>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</si>
  <si>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</si>
  <si>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</si>
  <si>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</si>
  <si>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</si>
  <si>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</si>
  <si>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</si>
  <si>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</si>
  <si>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</si>
  <si>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</si>
  <si>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</si>
  <si>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</si>
  <si>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</si>
  <si>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</si>
  <si>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</si>
  <si>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</si>
  <si>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</si>
  <si>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</si>
  <si>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</si>
  <si>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</si>
  <si>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</si>
  <si>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</si>
  <si>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</si>
  <si>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</si>
  <si>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</si>
  <si>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</si>
  <si>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</si>
  <si>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</si>
  <si>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</si>
  <si>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</si>
  <si>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</si>
  <si>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</si>
  <si>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</si>
  <si>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</si>
  <si>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</si>
  <si>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</si>
  <si>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</si>
  <si>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</si>
  <si>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</si>
  <si>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</si>
  <si>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</si>
  <si>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</si>
  <si>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</si>
  <si>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</si>
  <si>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</si>
  <si>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</si>
  <si>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</si>
  <si>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</si>
  <si>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</si>
  <si>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</si>
  <si>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</si>
  <si>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</si>
  <si>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</si>
  <si>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</si>
  <si>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</si>
  <si>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</si>
  <si>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</si>
  <si>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</si>
  <si>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</si>
  <si>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</si>
  <si>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</si>
  <si>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</si>
  <si>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</si>
  <si>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</si>
  <si>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</si>
  <si>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</si>
  <si>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</si>
  <si>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</si>
  <si>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</si>
  <si>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</si>
  <si>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</si>
  <si>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</si>
  <si>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</si>
  <si>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</si>
  <si>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</si>
  <si>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</si>
  <si>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</si>
  <si>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</si>
  <si>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</si>
  <si>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</si>
  <si>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</si>
  <si>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</si>
  <si>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</si>
  <si>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</si>
  <si>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</si>
  <si>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</si>
  <si>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</si>
  <si>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</si>
  <si>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</si>
  <si>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</si>
  <si>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</si>
  <si>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</si>
  <si>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</si>
  <si>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</si>
  <si>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</si>
  <si>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</si>
  <si>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</si>
  <si>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</si>
  <si>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</si>
  <si>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</si>
  <si>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</si>
  <si>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</si>
  <si>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</si>
  <si>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</si>
  <si>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</si>
  <si>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</si>
  <si>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</si>
  <si>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</si>
  <si>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</si>
  <si>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</si>
  <si>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</si>
  <si>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</si>
  <si>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</si>
  <si>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</si>
  <si>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</si>
  <si>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</si>
  <si>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</si>
  <si>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</si>
  <si>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</si>
  <si>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</si>
  <si>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</si>
  <si>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</si>
  <si>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</si>
  <si>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</si>
  <si>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</si>
  <si>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</si>
  <si>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</si>
  <si>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</si>
  <si>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</si>
  <si>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</si>
  <si>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</si>
  <si>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</si>
  <si>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</si>
  <si>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</si>
  <si>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</si>
  <si>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</si>
  <si>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</si>
  <si>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</si>
  <si>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</si>
  <si>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</si>
  <si>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</si>
  <si>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</si>
  <si>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</si>
  <si>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</si>
  <si>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</si>
  <si>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</si>
  <si>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</si>
  <si>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</si>
  <si>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</si>
  <si>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</si>
  <si>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</si>
  <si>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</si>
  <si>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</si>
  <si>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</si>
  <si>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</si>
  <si>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</si>
  <si>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</si>
  <si>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</si>
  <si>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</si>
  <si>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</si>
  <si>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</si>
  <si>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</si>
  <si>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</si>
  <si>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</si>
  <si>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</si>
  <si>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</si>
  <si>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</si>
  <si>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</si>
  <si>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</si>
  <si>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</si>
  <si>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</si>
  <si>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</si>
  <si>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</si>
  <si>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</si>
  <si>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</si>
  <si>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</si>
  <si>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</si>
  <si>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</si>
  <si>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</si>
  <si>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</si>
  <si>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</si>
  <si>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</si>
  <si>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</si>
  <si>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</si>
  <si>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</si>
  <si>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</si>
  <si>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</si>
  <si>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</si>
  <si>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</si>
  <si>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</si>
  <si>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</si>
  <si>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</si>
  <si>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</si>
  <si>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</si>
  <si>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</si>
  <si>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</si>
  <si>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</si>
  <si>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</si>
  <si>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</si>
  <si>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</si>
  <si>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</si>
  <si>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</si>
  <si>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</si>
  <si>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</si>
  <si>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</si>
  <si>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</si>
  <si>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</si>
  <si>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</si>
  <si>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</si>
  <si>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</si>
  <si>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</si>
  <si>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</si>
  <si>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</si>
  <si>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</si>
  <si>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</si>
  <si>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</si>
  <si>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</si>
  <si>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</si>
  <si>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</si>
  <si>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</si>
  <si>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</si>
  <si>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</si>
  <si>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</si>
  <si>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</si>
  <si>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</si>
  <si>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</si>
  <si>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</si>
  <si>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</si>
  <si>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</si>
  <si>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</si>
  <si>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</si>
  <si>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</si>
  <si>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</si>
  <si>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</si>
  <si>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</si>
  <si>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</si>
  <si>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</si>
  <si>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</si>
  <si>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</si>
  <si>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</si>
  <si>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</si>
  <si>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</si>
  <si>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</si>
  <si>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</si>
  <si>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</si>
  <si>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</si>
  <si>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</si>
  <si>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</si>
  <si>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</si>
  <si>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</si>
  <si>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</si>
  <si>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</si>
  <si>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</si>
  <si>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</si>
  <si>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</si>
  <si>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</si>
  <si>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</si>
  <si>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</si>
  <si>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</si>
  <si>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</si>
  <si>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</si>
  <si>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</si>
  <si>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</si>
  <si>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</si>
  <si>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</si>
  <si>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</si>
  <si>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</si>
  <si>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</si>
  <si>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</si>
  <si>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</si>
  <si>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</si>
  <si>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</si>
  <si>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</si>
  <si>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</si>
  <si>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</si>
  <si>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</si>
  <si>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</si>
  <si>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</si>
  <si>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</si>
  <si>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</si>
  <si>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</si>
  <si>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</si>
  <si>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</si>
  <si>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</si>
  <si>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</si>
  <si>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</si>
  <si>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</si>
  <si>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</si>
  <si>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</si>
  <si>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</si>
  <si>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</si>
  <si>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</si>
  <si>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</si>
  <si>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</si>
  <si>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</si>
  <si>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</si>
  <si>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</si>
  <si>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</si>
  <si>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</si>
  <si>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</si>
  <si>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</si>
  <si>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</si>
  <si>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</si>
  <si>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</si>
  <si>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</si>
  <si>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</si>
  <si>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</si>
  <si>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</si>
  <si>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</si>
  <si>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</si>
  <si>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</si>
  <si>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</si>
  <si>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</si>
  <si>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</si>
  <si>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</si>
  <si>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</si>
  <si>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</si>
  <si>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</si>
  <si>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</si>
  <si>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</si>
  <si>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</si>
  <si>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</si>
  <si>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</si>
  <si>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</si>
  <si>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</si>
  <si>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</si>
  <si>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</si>
  <si>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</si>
  <si>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</si>
  <si>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</si>
  <si>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</si>
  <si>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</si>
  <si>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</si>
  <si>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</si>
  <si>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</si>
  <si>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</si>
  <si>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</si>
  <si>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</si>
  <si>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</si>
  <si>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</si>
  <si>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</si>
  <si>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</si>
  <si>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</si>
  <si>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</si>
  <si>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</si>
  <si>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</si>
  <si>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</si>
  <si>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</si>
  <si>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</si>
  <si>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</si>
  <si>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</si>
  <si>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</si>
  <si>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</si>
  <si>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</si>
  <si>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</si>
  <si>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</si>
  <si>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</si>
  <si>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</si>
  <si>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</si>
  <si>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</si>
  <si>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</si>
  <si>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</si>
  <si>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</si>
  <si>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</si>
  <si>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</si>
  <si>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</si>
  <si>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</si>
  <si>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</si>
  <si>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</si>
  <si>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</si>
  <si>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</si>
  <si>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</si>
  <si>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</si>
  <si>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</si>
  <si>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</si>
  <si>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</si>
  <si>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</si>
  <si>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</si>
  <si>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</si>
  <si>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</si>
  <si>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</si>
  <si>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</si>
  <si>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</si>
  <si>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</si>
  <si>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</si>
  <si>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</si>
  <si>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</si>
  <si>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</si>
  <si>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</si>
  <si>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</si>
  <si>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</si>
  <si>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</si>
  <si>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</si>
  <si>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</si>
  <si>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</si>
  <si>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</si>
  <si>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</si>
  <si>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</si>
  <si>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</si>
  <si>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</si>
  <si>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</si>
  <si>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</si>
  <si>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</si>
  <si>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</si>
  <si>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</si>
  <si>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</si>
  <si>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</si>
  <si>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</si>
  <si>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</si>
  <si>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</si>
  <si>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</si>
  <si>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</si>
  <si>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</si>
  <si>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</si>
  <si>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</si>
  <si>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</si>
  <si>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</si>
  <si>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</si>
  <si>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</si>
  <si>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</si>
  <si>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</si>
  <si>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</si>
  <si>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</si>
  <si>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</si>
  <si>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</si>
  <si>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</si>
  <si>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</si>
  <si>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</si>
  <si>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</si>
  <si>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</si>
  <si>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</si>
  <si>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</si>
  <si>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</si>
  <si>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</si>
  <si>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</si>
  <si>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</si>
  <si>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</si>
  <si>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</si>
  <si>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</si>
  <si>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</si>
  <si>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</si>
  <si>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</si>
  <si>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</si>
  <si>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</si>
  <si>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</si>
  <si>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</si>
  <si>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</si>
  <si>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</si>
  <si>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</si>
  <si>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</si>
  <si>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</si>
  <si>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</si>
  <si>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</si>
  <si>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</si>
  <si>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</si>
  <si>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</si>
  <si>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</si>
  <si>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</si>
  <si>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</si>
  <si>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</si>
  <si>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</si>
  <si>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</si>
  <si>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</si>
  <si>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</si>
  <si>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</si>
  <si>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</si>
  <si>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</si>
  <si>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</si>
  <si>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</si>
  <si>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</si>
  <si>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</si>
  <si>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</si>
  <si>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</si>
  <si>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</si>
  <si>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</si>
  <si>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</si>
  <si>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</si>
  <si>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</si>
  <si>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</si>
  <si>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</si>
  <si>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</si>
  <si>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</si>
  <si>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</si>
  <si>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</si>
  <si>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</si>
  <si>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</si>
  <si>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</si>
  <si>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</si>
  <si>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</si>
  <si>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</si>
  <si>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</si>
  <si>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</si>
  <si>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</si>
  <si>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</si>
  <si>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</si>
  <si>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</si>
  <si>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</si>
  <si>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</si>
  <si>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</si>
  <si>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</si>
  <si>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</si>
  <si>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</si>
  <si>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</si>
  <si>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</si>
  <si>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</si>
  <si>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</si>
  <si>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</si>
  <si>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</si>
  <si>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</si>
  <si>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</si>
  <si>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</si>
  <si>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</si>
  <si>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</si>
  <si>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</si>
  <si>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</si>
  <si>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</si>
  <si>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</si>
  <si>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</si>
  <si>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</si>
  <si>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</si>
  <si>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</si>
  <si>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</si>
  <si>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</si>
  <si>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</si>
  <si>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</si>
  <si>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</si>
  <si>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</si>
  <si>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</si>
  <si>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</si>
  <si>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</si>
  <si>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</si>
  <si>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</si>
  <si>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</si>
  <si>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</si>
  <si>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</si>
  <si>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</si>
  <si>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</si>
  <si>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</si>
  <si>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</si>
  <si>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</si>
  <si>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</si>
  <si>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</si>
  <si>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</si>
  <si>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</si>
  <si>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</si>
  <si>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</si>
  <si>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</si>
  <si>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</si>
  <si>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</si>
  <si>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</si>
  <si>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</si>
  <si>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</si>
  <si>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</si>
  <si>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</si>
  <si>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</si>
  <si>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</si>
  <si>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</si>
  <si>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</si>
  <si>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</si>
  <si>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</si>
  <si>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</si>
  <si>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</si>
  <si>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</si>
  <si>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</si>
  <si>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</si>
  <si>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</si>
  <si>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</si>
  <si>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</si>
  <si>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</si>
  <si>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</si>
  <si>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</si>
  <si>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</si>
  <si>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</si>
  <si>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</si>
  <si>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</si>
  <si>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</si>
  <si>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</si>
  <si>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</si>
  <si>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</si>
  <si>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</si>
  <si>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</si>
  <si>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</si>
  <si>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</si>
  <si>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</si>
  <si>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</si>
  <si>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</si>
  <si>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</si>
  <si>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</si>
  <si>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</si>
  <si>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</si>
  <si>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</si>
  <si>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</si>
  <si>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</si>
  <si>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</si>
  <si>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</si>
  <si>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</si>
  <si>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</si>
  <si>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</si>
  <si>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</si>
  <si>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</si>
  <si>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</si>
  <si>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</si>
  <si>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</si>
  <si>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</si>
  <si>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</si>
  <si>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</si>
  <si>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</si>
  <si>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</si>
  <si>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</si>
  <si>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</si>
  <si>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</si>
  <si>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</si>
  <si>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</si>
  <si>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</si>
  <si>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</si>
  <si>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</si>
  <si>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</si>
  <si>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</si>
  <si>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</si>
  <si>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</si>
  <si>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</si>
  <si>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</si>
  <si>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</si>
  <si>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</si>
  <si>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</si>
  <si>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</si>
  <si>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</si>
  <si>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</si>
  <si>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</si>
  <si>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</si>
  <si>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</si>
  <si>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</si>
  <si>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</si>
  <si>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</si>
  <si>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</si>
  <si>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</si>
  <si>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</si>
  <si>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</si>
  <si>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</si>
  <si>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</si>
  <si>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</si>
  <si>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</si>
  <si>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</si>
  <si>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</si>
  <si>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</si>
  <si>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</si>
  <si>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</si>
  <si>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</si>
  <si>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</si>
  <si>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</si>
  <si>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</si>
  <si>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</si>
  <si>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</si>
  <si>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</si>
  <si>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</si>
  <si>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</si>
  <si>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</si>
  <si>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</si>
  <si>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</si>
  <si>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</si>
  <si>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</si>
  <si>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</si>
  <si>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</si>
  <si>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</si>
  <si>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</si>
  <si>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</si>
  <si>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</si>
  <si>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</si>
  <si>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</si>
  <si>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</si>
  <si>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</si>
  <si>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</si>
  <si>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</si>
  <si>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</si>
  <si>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</si>
  <si>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</si>
  <si>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</si>
  <si>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</si>
  <si>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</si>
  <si>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</si>
  <si>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</si>
  <si>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</si>
  <si>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</si>
  <si>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</si>
  <si>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</si>
  <si>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</si>
  <si>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</si>
  <si>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</si>
  <si>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</si>
  <si>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</si>
  <si>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</si>
  <si>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</si>
  <si>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</si>
  <si>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</si>
  <si>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</si>
  <si>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</si>
  <si>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</si>
  <si>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</si>
  <si>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</si>
  <si>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</si>
  <si>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</si>
  <si>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</si>
  <si>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</si>
  <si>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</si>
  <si>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</si>
  <si>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</si>
  <si>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</si>
  <si>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</si>
  <si>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</si>
  <si>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</si>
  <si>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</si>
  <si>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</si>
  <si>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</si>
  <si>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</si>
  <si>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</si>
  <si>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</si>
  <si>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</si>
  <si>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</si>
  <si>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</si>
  <si>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</si>
  <si>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</si>
  <si>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</si>
  <si>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</si>
  <si>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</si>
  <si>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</si>
  <si>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</si>
  <si>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</si>
  <si>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</si>
  <si>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</si>
  <si>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</si>
  <si>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</si>
  <si>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</si>
  <si>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</si>
  <si>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</si>
  <si>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</si>
  <si>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</si>
  <si>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</si>
  <si>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</si>
  <si>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</si>
  <si>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</si>
  <si>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</si>
  <si>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</si>
  <si>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</si>
  <si>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</si>
  <si>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</si>
  <si>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</si>
  <si>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</si>
  <si>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</si>
  <si>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</si>
  <si>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</si>
  <si>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</si>
  <si>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</si>
  <si>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</si>
  <si>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</si>
  <si>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</si>
  <si>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</si>
  <si>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</si>
  <si>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</si>
  <si>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</si>
  <si>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</si>
  <si>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</si>
  <si>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</si>
  <si>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</si>
  <si>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</si>
  <si>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</si>
  <si>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</si>
  <si>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</si>
  <si>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</si>
  <si>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</si>
  <si>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</si>
  <si>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</si>
  <si>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</si>
  <si>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</si>
  <si>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</si>
  <si>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</si>
  <si>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</si>
  <si>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</si>
  <si>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</si>
  <si>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</si>
  <si>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</si>
  <si>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</si>
  <si>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</si>
  <si>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</si>
  <si>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</si>
  <si>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</si>
  <si>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</si>
  <si>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</si>
  <si>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</si>
  <si>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</si>
  <si>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</si>
  <si>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</si>
  <si>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</si>
  <si>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</si>
  <si>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</si>
  <si>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</si>
  <si>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</si>
  <si>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</si>
  <si>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</si>
  <si>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</si>
  <si>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</si>
  <si>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</si>
  <si>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</si>
  <si>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</si>
  <si>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</si>
  <si>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</si>
  <si>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</si>
  <si>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</si>
  <si>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</si>
  <si>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</si>
  <si>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</si>
  <si>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</si>
  <si>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</si>
  <si>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</si>
  <si>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</si>
  <si>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</si>
  <si>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</si>
  <si>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</si>
  <si>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</si>
  <si>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</si>
  <si>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</si>
  <si>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</si>
  <si>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</si>
  <si>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</si>
  <si>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</si>
  <si>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</si>
  <si>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</si>
  <si>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</si>
  <si>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</si>
  <si>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</si>
  <si>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</si>
  <si>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</si>
  <si>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</si>
  <si>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</si>
  <si>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</si>
  <si>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</si>
  <si>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</si>
  <si>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</si>
  <si>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</si>
  <si>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</si>
  <si>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</si>
  <si>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</si>
  <si>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</si>
  <si>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</si>
  <si>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</si>
  <si>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</si>
  <si>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</si>
  <si>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</si>
  <si>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</si>
  <si>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</si>
  <si>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</si>
  <si>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</si>
  <si>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</si>
  <si>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</si>
  <si>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</si>
  <si>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</si>
  <si>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</si>
  <si>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</si>
  <si>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</si>
  <si>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</si>
  <si>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</si>
  <si>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</si>
  <si>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</si>
  <si>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</si>
  <si>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</si>
  <si>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</si>
  <si>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</si>
  <si>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</si>
  <si>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</si>
  <si>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</si>
  <si>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</si>
  <si>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</si>
  <si>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</si>
  <si>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</si>
  <si>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</si>
  <si>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</si>
  <si>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</si>
  <si>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</si>
  <si>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</si>
  <si>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</si>
  <si>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</si>
  <si>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</si>
  <si>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</si>
  <si>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</si>
  <si>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</si>
  <si>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</si>
  <si>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</si>
  <si>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</si>
  <si>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</si>
  <si>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</si>
  <si>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</si>
  <si>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</si>
  <si>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</si>
  <si>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</si>
  <si>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</si>
  <si>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</si>
  <si>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</si>
  <si>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</si>
  <si>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</si>
  <si>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</si>
  <si>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</si>
  <si>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</si>
  <si>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</si>
  <si>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</si>
  <si>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</si>
  <si>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</si>
  <si>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</si>
  <si>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</si>
  <si>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</si>
  <si>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</si>
  <si>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</si>
  <si>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</si>
  <si>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</si>
  <si>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</si>
  <si>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</si>
  <si>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</si>
  <si>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</si>
  <si>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</si>
  <si>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</si>
  <si>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</si>
  <si>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</si>
  <si>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</si>
  <si>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</si>
  <si>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</si>
  <si>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</si>
  <si>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</si>
  <si>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</si>
  <si>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</si>
  <si>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</si>
  <si>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</si>
  <si>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</si>
  <si>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</si>
  <si>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</si>
  <si>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</si>
  <si>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</si>
  <si>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</si>
  <si>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</si>
  <si>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</si>
  <si>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</si>
  <si>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</si>
  <si>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</si>
  <si>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</si>
  <si>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</si>
  <si>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</si>
  <si>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</si>
  <si>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</si>
  <si>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</si>
  <si>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</si>
  <si>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</si>
  <si>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</si>
  <si>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</si>
  <si>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</si>
  <si>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</si>
  <si>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</si>
  <si>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</si>
  <si>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</si>
  <si>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</si>
  <si>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</si>
  <si>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</si>
  <si>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</si>
  <si>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</si>
  <si>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</si>
  <si>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</si>
  <si>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</si>
  <si>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</si>
  <si>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</si>
  <si>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</si>
  <si>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</si>
  <si>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</si>
  <si>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</si>
  <si>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</si>
  <si>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</si>
  <si>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</si>
  <si>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</si>
  <si>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</si>
  <si>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</si>
  <si>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</si>
  <si>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</si>
  <si>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</si>
  <si>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</si>
  <si>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</si>
  <si>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</si>
  <si>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</si>
  <si>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</si>
  <si>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</si>
  <si>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</si>
  <si>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</si>
  <si>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</si>
  <si>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</si>
  <si>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</si>
  <si>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</si>
  <si>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</si>
  <si>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</si>
  <si>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</si>
  <si>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</si>
  <si>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</si>
  <si>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</si>
  <si>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</si>
  <si>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</si>
  <si>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</si>
  <si>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</si>
  <si>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</si>
  <si>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</si>
  <si>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</si>
  <si>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</si>
  <si>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</si>
  <si>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</si>
  <si>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</si>
  <si>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</si>
  <si>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</si>
  <si>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</si>
  <si>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</si>
  <si>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</si>
  <si>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</si>
  <si>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</si>
  <si>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</si>
  <si>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</si>
  <si>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</si>
  <si>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</si>
  <si>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</si>
  <si>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</si>
  <si>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</si>
  <si>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</si>
  <si>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</si>
  <si>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</si>
  <si>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</si>
  <si>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</si>
  <si>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</si>
  <si>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</si>
  <si>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</si>
  <si>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</si>
  <si>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</si>
  <si>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</si>
  <si>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</si>
  <si>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</si>
  <si>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</si>
  <si>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</si>
  <si>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</si>
  <si>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</si>
  <si>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</si>
  <si>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</si>
  <si>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</si>
  <si>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</si>
  <si>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</si>
  <si>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</si>
  <si>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</si>
  <si>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</si>
  <si>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</si>
  <si>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</si>
  <si>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</si>
  <si>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</si>
  <si>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</si>
  <si>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</si>
  <si>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</si>
  <si>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</si>
  <si>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</si>
  <si>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</si>
  <si>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</si>
  <si>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</si>
  <si>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</si>
  <si>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</si>
  <si>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</si>
  <si>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</si>
  <si>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</si>
  <si>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</si>
  <si>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</si>
  <si>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</si>
  <si>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</si>
  <si>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</si>
  <si>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</si>
  <si>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</si>
  <si>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</si>
  <si>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</si>
  <si>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</si>
  <si>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</si>
  <si>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</si>
  <si>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</si>
  <si>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</si>
  <si>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</si>
  <si>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</si>
  <si>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</si>
  <si>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</si>
  <si>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</si>
  <si>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</si>
  <si>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</si>
  <si>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</si>
  <si>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</si>
  <si>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</si>
  <si>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</si>
  <si>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</si>
  <si>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</si>
  <si>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</si>
  <si>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</si>
  <si>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</si>
  <si>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</si>
  <si>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</si>
  <si>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</si>
  <si>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</si>
  <si>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</si>
  <si>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</si>
  <si>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</si>
  <si>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</si>
  <si>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</si>
  <si>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</si>
  <si>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</si>
  <si>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</si>
  <si>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</si>
  <si>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</si>
  <si>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</si>
  <si>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</si>
  <si>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</si>
  <si>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</si>
  <si>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</si>
  <si>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</si>
  <si>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</si>
  <si>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</si>
  <si>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</si>
  <si>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</si>
  <si>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</si>
  <si>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</si>
  <si>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</si>
  <si>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</si>
  <si>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</si>
  <si>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</si>
  <si>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</si>
  <si>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</si>
  <si>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</si>
  <si>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</si>
  <si>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</si>
  <si>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</si>
  <si>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</si>
  <si>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</si>
  <si>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</si>
  <si>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</si>
  <si>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</si>
  <si>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</si>
  <si>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</si>
  <si>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</si>
  <si>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</si>
  <si>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</si>
  <si>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</si>
  <si>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</si>
  <si>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</si>
  <si>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</si>
  <si>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</si>
  <si>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</si>
  <si>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</si>
  <si>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</si>
  <si>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</si>
  <si>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</si>
  <si>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</si>
  <si>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</si>
  <si>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</si>
  <si>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</si>
  <si>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</si>
  <si>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</si>
  <si>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</si>
  <si>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</si>
  <si>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</si>
  <si>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</si>
  <si>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</si>
  <si>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</si>
  <si>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</si>
  <si>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</si>
  <si>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</si>
  <si>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</si>
  <si>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</si>
  <si>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</si>
  <si>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</si>
  <si>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</si>
  <si>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</si>
  <si>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</si>
  <si>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</si>
  <si>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</si>
  <si>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</si>
  <si>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</si>
  <si>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</si>
  <si>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</si>
  <si>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</si>
  <si>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</si>
  <si>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</si>
  <si>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</si>
  <si>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</si>
  <si>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</si>
  <si>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</si>
  <si>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</si>
  <si>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</si>
  <si>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</si>
  <si>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</si>
  <si>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</si>
  <si>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</si>
  <si>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</si>
  <si>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</si>
  <si>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</si>
  <si>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</si>
  <si>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</si>
  <si>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</si>
  <si>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</si>
  <si>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</si>
  <si>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</si>
  <si>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</si>
  <si>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</si>
  <si>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</si>
  <si>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</si>
  <si>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</si>
  <si>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</si>
  <si>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</si>
  <si>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</si>
  <si>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</si>
  <si>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</si>
  <si>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</si>
  <si>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</si>
  <si>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</si>
  <si>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</si>
  <si>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</si>
  <si>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</si>
  <si>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</si>
  <si>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</si>
  <si>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</si>
  <si>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</si>
  <si>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</si>
  <si>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</si>
  <si>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</si>
  <si>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</si>
  <si>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</si>
  <si>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</si>
  <si>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</si>
  <si>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</si>
  <si>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</si>
  <si>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</si>
  <si>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</si>
  <si>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</si>
  <si>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</si>
  <si>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</si>
  <si>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</si>
  <si>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</si>
  <si>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</si>
  <si>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</si>
  <si>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</si>
  <si>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</si>
  <si>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</si>
  <si>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</si>
  <si>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</si>
  <si>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</si>
  <si>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</si>
  <si>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</si>
  <si>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</si>
  <si>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</si>
  <si>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</si>
  <si>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</si>
  <si>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</si>
  <si>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</si>
  <si>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</si>
  <si>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</si>
  <si>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</si>
  <si>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</si>
  <si>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</si>
  <si>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</si>
  <si>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</si>
  <si>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</si>
  <si>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</si>
  <si>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</si>
  <si>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</si>
  <si>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</si>
  <si>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</si>
  <si>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</si>
  <si>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</si>
  <si>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</si>
  <si>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</si>
  <si>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</si>
  <si>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</si>
  <si>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</si>
  <si>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</si>
  <si>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</si>
  <si>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</si>
  <si>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</si>
  <si>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</si>
  <si>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</si>
  <si>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</si>
  <si>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</si>
  <si>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</si>
  <si>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</si>
  <si>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</si>
  <si>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</si>
  <si>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</si>
  <si>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</si>
  <si>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</si>
  <si>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</si>
  <si>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</si>
  <si>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</si>
  <si>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</si>
  <si>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</si>
  <si>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</si>
  <si>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</si>
  <si>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</si>
  <si>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</si>
  <si>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</si>
  <si>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</si>
  <si>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</si>
  <si>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</si>
  <si>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</si>
  <si>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</si>
  <si>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</si>
  <si>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</si>
  <si>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</si>
  <si>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</si>
  <si>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</si>
  <si>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</si>
  <si>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</si>
  <si>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</si>
  <si>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</si>
  <si>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</si>
  <si>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</si>
  <si>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</si>
  <si>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</si>
  <si>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</si>
  <si>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</si>
  <si>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</si>
  <si>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</si>
  <si>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</si>
  <si>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</si>
  <si>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</si>
  <si>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</si>
  <si>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</si>
  <si>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</si>
  <si>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</si>
  <si>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</si>
  <si>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</si>
  <si>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</si>
  <si>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</si>
  <si>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</si>
  <si>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</si>
  <si>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</si>
  <si>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</si>
  <si>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</si>
  <si>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</si>
  <si>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</si>
  <si>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</si>
  <si>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</si>
  <si>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</si>
  <si>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</si>
  <si>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</si>
  <si>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</si>
  <si>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</si>
  <si>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</si>
  <si>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</si>
  <si>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</si>
  <si>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</si>
  <si>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</si>
  <si>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</si>
  <si>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</si>
  <si>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</si>
  <si>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</si>
  <si>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</si>
  <si>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</si>
  <si>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</si>
  <si>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</si>
  <si>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</si>
  <si>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</si>
  <si>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</si>
  <si>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</si>
  <si>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</si>
  <si>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</si>
  <si>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</si>
  <si>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</si>
  <si>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</si>
  <si>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</si>
  <si>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</si>
  <si>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</si>
  <si>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</si>
  <si>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</si>
  <si>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</si>
  <si>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</si>
  <si>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</si>
  <si>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</si>
  <si>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</si>
  <si>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</si>
  <si>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</si>
  <si>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</si>
  <si>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</si>
  <si>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</si>
  <si>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</si>
  <si>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</si>
  <si>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</si>
  <si>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</si>
  <si>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</si>
  <si>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</si>
  <si>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</si>
  <si>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</si>
  <si>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</si>
  <si>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</si>
  <si>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</si>
  <si>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</si>
  <si>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</si>
  <si>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</si>
  <si>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</si>
  <si>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</si>
  <si>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</si>
  <si>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</si>
  <si>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</si>
  <si>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</si>
  <si>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</si>
  <si>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</si>
  <si>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</si>
  <si>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</si>
  <si>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</si>
  <si>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</si>
  <si>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</si>
  <si>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</si>
  <si>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</si>
  <si>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</si>
  <si>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</si>
  <si>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</si>
  <si>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</si>
  <si>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</si>
  <si>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</si>
  <si>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</si>
  <si>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</si>
  <si>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</si>
  <si>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</si>
  <si>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</si>
  <si>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</si>
  <si>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</si>
  <si>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</si>
  <si>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</si>
  <si>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</si>
  <si>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</si>
  <si>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</si>
  <si>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</si>
  <si>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</si>
  <si>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</si>
  <si>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</si>
  <si>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</si>
  <si>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</si>
  <si>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</si>
  <si>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</si>
  <si>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</si>
  <si>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</si>
  <si>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</si>
  <si>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</si>
  <si>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</si>
  <si>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</si>
  <si>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</si>
  <si>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</si>
  <si>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</si>
  <si>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</si>
  <si>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</si>
  <si>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</si>
  <si>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</si>
  <si>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</si>
  <si>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</si>
  <si>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</si>
  <si>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</si>
  <si>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</si>
  <si>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</si>
  <si>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</si>
  <si>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</si>
  <si>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</si>
  <si>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</si>
  <si>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</si>
  <si>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</si>
  <si>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</si>
  <si>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</si>
  <si>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</si>
  <si>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</si>
  <si>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</si>
  <si>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</si>
  <si>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</si>
  <si>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</si>
  <si>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</si>
  <si>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</si>
  <si>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</si>
  <si>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</si>
  <si>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</si>
  <si>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</si>
  <si>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</si>
  <si>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</si>
  <si>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</si>
  <si>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</si>
  <si>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</si>
  <si>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</si>
  <si>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</si>
  <si>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</si>
  <si>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</si>
  <si>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</si>
  <si>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</si>
  <si>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</si>
  <si>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</si>
  <si>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</si>
  <si>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</si>
  <si>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</si>
  <si>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</si>
  <si>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</si>
  <si>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</si>
  <si>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</si>
  <si>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</si>
  <si>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</si>
  <si>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</si>
  <si>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</si>
  <si>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</si>
  <si>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</si>
  <si>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</si>
  <si>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</si>
  <si>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</si>
  <si>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</si>
  <si>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</si>
  <si>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</si>
  <si>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</si>
  <si>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</si>
  <si>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</si>
  <si>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</si>
  <si>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</si>
  <si>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</si>
  <si>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</si>
  <si>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</si>
  <si>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</si>
  <si>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</si>
  <si>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</si>
  <si>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</si>
  <si>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</si>
  <si>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</si>
  <si>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</si>
  <si>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</si>
  <si>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</si>
  <si>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</si>
  <si>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</si>
  <si>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</si>
  <si>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</si>
  <si>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</si>
  <si>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</si>
  <si>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</si>
  <si>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</si>
  <si>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</si>
  <si>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</si>
  <si>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</si>
  <si>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</si>
  <si>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</si>
  <si>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</si>
  <si>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</si>
  <si>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</si>
  <si>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</si>
  <si>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</si>
  <si>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</si>
  <si>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</si>
  <si>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</si>
  <si>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</si>
  <si>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</si>
  <si>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</si>
  <si>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</si>
  <si>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</si>
  <si>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</si>
  <si>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</si>
  <si>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</si>
  <si>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</si>
  <si>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</si>
  <si>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</si>
  <si>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</si>
  <si>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</si>
  <si>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</si>
  <si>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</si>
  <si>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</si>
  <si>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</si>
  <si>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</si>
  <si>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</si>
  <si>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</si>
  <si>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</si>
  <si>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</si>
  <si>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</si>
  <si>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</si>
  <si>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</si>
  <si>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</si>
  <si>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</si>
  <si>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</si>
  <si>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</si>
  <si>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</si>
  <si>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</si>
  <si>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</si>
  <si>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</si>
  <si>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</si>
  <si>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</si>
  <si>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</si>
  <si>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</si>
  <si>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</si>
  <si>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</si>
  <si>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</si>
  <si>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</si>
  <si>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</si>
  <si>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</si>
  <si>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</si>
  <si>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</si>
  <si>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</si>
  <si>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</si>
  <si>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</si>
  <si>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</si>
  <si>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</si>
  <si>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</si>
  <si>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</si>
  <si>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</si>
  <si>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</si>
  <si>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</si>
  <si>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</si>
  <si>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</si>
  <si>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</si>
  <si>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</si>
  <si>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</si>
  <si>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</si>
  <si>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</si>
  <si>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</si>
  <si>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</si>
  <si>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</si>
  <si>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</si>
  <si>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</si>
  <si>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</si>
  <si>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</si>
  <si>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</si>
  <si>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</si>
  <si>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</si>
  <si>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</si>
  <si>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</si>
  <si>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</si>
  <si>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</si>
  <si>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</si>
  <si>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</si>
  <si>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</si>
  <si>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</si>
  <si>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</si>
  <si>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</si>
  <si>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</si>
  <si>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</si>
  <si>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</si>
  <si>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</si>
  <si>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</si>
  <si>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</si>
  <si>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</si>
  <si>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</si>
  <si>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</si>
  <si>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</si>
  <si>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</si>
  <si>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</si>
  <si>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</si>
  <si>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</si>
  <si>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</si>
  <si>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</si>
  <si>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</si>
  <si>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</si>
  <si>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</si>
  <si>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</si>
  <si>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</si>
  <si>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</si>
  <si>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</si>
  <si>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</si>
  <si>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</si>
  <si>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</si>
  <si>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</si>
  <si>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</si>
  <si>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</si>
  <si>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</si>
  <si>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</si>
  <si>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</si>
  <si>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</si>
  <si>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</si>
  <si>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</si>
  <si>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</si>
  <si>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</si>
  <si>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</si>
  <si>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</si>
  <si>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</si>
  <si>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</si>
  <si>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</si>
  <si>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</si>
  <si>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</si>
  <si>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</si>
  <si>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</si>
  <si>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</si>
  <si>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</si>
  <si>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</si>
  <si>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</si>
  <si>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</si>
  <si>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</si>
  <si>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</si>
  <si>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</si>
  <si>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</si>
  <si>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</si>
  <si>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</si>
  <si>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</si>
  <si>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</si>
  <si>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</si>
  <si>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</si>
  <si>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</si>
  <si>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</si>
  <si>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</si>
  <si>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</si>
  <si>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</si>
  <si>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</si>
  <si>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</si>
  <si>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</si>
  <si>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</si>
  <si>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</si>
  <si>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</si>
  <si>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</si>
  <si>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</si>
  <si>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</si>
  <si>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</si>
  <si>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</si>
  <si>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</si>
  <si>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</si>
  <si>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</si>
  <si>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</si>
  <si>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</si>
  <si>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</si>
  <si>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</si>
  <si>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</si>
  <si>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</si>
  <si>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</si>
  <si>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</si>
  <si>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</si>
  <si>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</si>
  <si>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</si>
  <si>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</si>
  <si>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</si>
  <si>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</si>
  <si>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</si>
  <si>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</si>
  <si>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</si>
  <si>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</si>
  <si>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</si>
  <si>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</si>
  <si>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</si>
  <si>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</si>
  <si>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</si>
  <si>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</si>
  <si>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</si>
  <si>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</si>
  <si>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</si>
  <si>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</si>
  <si>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</si>
  <si>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</si>
  <si>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</si>
  <si>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</si>
  <si>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</si>
  <si>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</si>
  <si>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</si>
  <si>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</si>
  <si>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</si>
  <si>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</si>
  <si>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</si>
  <si>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</si>
  <si>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</si>
  <si>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</si>
  <si>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</si>
  <si>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</si>
  <si>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</si>
  <si>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</si>
  <si>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</si>
  <si>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</si>
  <si>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</si>
  <si>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</si>
  <si>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</si>
  <si>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</si>
  <si>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</si>
  <si>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</si>
  <si>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</si>
  <si>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</si>
  <si>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</si>
  <si>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</si>
  <si>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</si>
  <si>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</si>
  <si>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</si>
  <si>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</si>
  <si>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</si>
  <si>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</si>
  <si>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</si>
  <si>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</si>
  <si>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</si>
  <si>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</si>
  <si>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</si>
  <si>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</si>
  <si>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</si>
  <si>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</si>
  <si>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</si>
  <si>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</si>
  <si>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</si>
  <si>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</si>
  <si>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</si>
  <si>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</si>
  <si>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</si>
  <si>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</si>
  <si>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</si>
  <si>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</si>
  <si>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</si>
  <si>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</si>
  <si>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</si>
  <si>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</si>
  <si>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</si>
  <si>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</si>
  <si>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</si>
  <si>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</si>
  <si>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</si>
  <si>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</si>
  <si>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</si>
  <si>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</si>
  <si>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</si>
  <si>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</si>
  <si>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</si>
  <si>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</si>
  <si>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</si>
  <si>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</si>
  <si>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</si>
  <si>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</si>
  <si>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</si>
  <si>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</si>
  <si>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</si>
  <si>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</si>
  <si>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</si>
  <si>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</si>
  <si>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</si>
  <si>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</si>
  <si>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</si>
  <si>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</si>
  <si>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</si>
  <si>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</si>
  <si>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</si>
  <si>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</si>
  <si>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</si>
  <si>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</si>
  <si>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</si>
  <si>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</si>
  <si>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</si>
  <si>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</si>
  <si>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</si>
  <si>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</si>
  <si>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</si>
  <si>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</si>
  <si>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</si>
  <si>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</si>
  <si>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</si>
  <si>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</si>
  <si>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</si>
  <si>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</si>
  <si>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</si>
  <si>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</si>
  <si>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</si>
  <si>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</si>
  <si>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</si>
  <si>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</si>
  <si>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</si>
  <si>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</si>
  <si>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</si>
  <si>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</si>
  <si>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</si>
  <si>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</si>
  <si>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</si>
  <si>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</si>
  <si>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</si>
  <si>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</si>
  <si>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</si>
  <si>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</si>
  <si>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</si>
  <si>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</si>
  <si>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</si>
  <si>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</si>
  <si>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</si>
  <si>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</si>
  <si>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</si>
  <si>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</si>
  <si>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</si>
  <si>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</si>
  <si>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</si>
  <si>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</si>
  <si>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</si>
  <si>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</si>
  <si>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</si>
  <si>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</si>
  <si>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</si>
  <si>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</si>
  <si>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</si>
  <si>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</si>
  <si>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</si>
  <si>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</si>
  <si>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</si>
  <si>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</si>
  <si>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</si>
  <si>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</si>
  <si>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</si>
  <si>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</si>
  <si>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</si>
  <si>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</si>
  <si>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</si>
  <si>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</si>
  <si>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</si>
  <si>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</si>
  <si>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</si>
  <si>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</si>
  <si>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</si>
  <si>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</si>
  <si>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</si>
  <si>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</si>
  <si>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</si>
  <si>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</si>
  <si>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</si>
  <si>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</si>
  <si>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</si>
  <si>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</si>
  <si>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</si>
  <si>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</si>
  <si>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</si>
  <si>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</si>
  <si>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</si>
  <si>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</si>
  <si>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</si>
  <si>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</si>
  <si>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</si>
  <si>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</si>
  <si>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</si>
  <si>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</si>
  <si>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</si>
  <si>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</si>
  <si>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</si>
  <si>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</si>
  <si>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</si>
  <si>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</si>
  <si>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</si>
  <si>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</si>
  <si>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</si>
  <si>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</si>
  <si>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</si>
  <si>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</si>
  <si>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</si>
  <si>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</si>
  <si>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</si>
  <si>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</si>
  <si>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</si>
  <si>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</si>
  <si>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</si>
  <si>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</si>
  <si>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</si>
  <si>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</si>
  <si>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</si>
  <si>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</si>
  <si>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</si>
  <si>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</si>
  <si>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</si>
  <si>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</si>
  <si>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</si>
  <si>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</si>
  <si>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</si>
  <si>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</si>
  <si>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</si>
  <si>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</si>
  <si>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</si>
  <si>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</si>
  <si>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</si>
  <si>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</si>
  <si>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</si>
  <si>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</si>
  <si>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</si>
  <si>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</si>
  <si>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</si>
  <si>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</si>
  <si>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</si>
  <si>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</si>
  <si>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</si>
  <si>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</si>
  <si>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</si>
  <si>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</si>
  <si>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</si>
  <si>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</si>
  <si>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</si>
  <si>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</si>
  <si>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</si>
  <si>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</si>
  <si>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</si>
  <si>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</si>
  <si>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</si>
  <si>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</si>
  <si>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</si>
  <si>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</si>
  <si>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</si>
  <si>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</si>
  <si>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</si>
  <si>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</si>
  <si>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</si>
  <si>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</si>
  <si>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</si>
  <si>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</si>
  <si>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</si>
  <si>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</si>
  <si>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</si>
  <si>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</si>
  <si>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</si>
  <si>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</si>
  <si>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</si>
  <si>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</si>
  <si>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</si>
  <si>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</si>
  <si>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</si>
  <si>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</si>
  <si>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</si>
  <si>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</si>
  <si>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</si>
  <si>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</si>
  <si>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</si>
  <si>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</si>
  <si>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</si>
  <si>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</si>
  <si>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</si>
  <si>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</si>
  <si>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</si>
  <si>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</si>
  <si>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</si>
  <si>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</si>
  <si>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</si>
  <si>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</si>
  <si>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</si>
  <si>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</si>
  <si>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</si>
  <si>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</si>
  <si>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</si>
  <si>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</si>
  <si>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</si>
  <si>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</si>
  <si>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</si>
  <si>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</si>
  <si>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</si>
  <si>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</si>
  <si>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</si>
  <si>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</si>
  <si>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</si>
  <si>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</si>
  <si>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</si>
  <si>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</si>
  <si>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</si>
  <si>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</si>
  <si>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</si>
  <si>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</si>
  <si>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</si>
  <si>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</si>
  <si>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</si>
  <si>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</si>
  <si>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</si>
  <si>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</si>
  <si>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</si>
  <si>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</si>
  <si>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</si>
  <si>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</si>
  <si>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</si>
  <si>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</si>
  <si>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</si>
  <si>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</si>
  <si>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</si>
  <si>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</si>
  <si>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</si>
  <si>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</si>
  <si>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</si>
  <si>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</si>
  <si>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</si>
  <si>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</si>
  <si>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</si>
  <si>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</si>
  <si>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</si>
  <si>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</si>
  <si>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</si>
  <si>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</si>
  <si>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</si>
  <si>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</si>
  <si>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</si>
  <si>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</si>
  <si>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</si>
  <si>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</si>
  <si>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</si>
  <si>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</si>
  <si>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</si>
  <si>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</si>
  <si>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</si>
  <si>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</si>
  <si>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</si>
  <si>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</si>
  <si>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</si>
  <si>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</si>
  <si>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</si>
  <si>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</si>
  <si>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</si>
  <si>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</si>
  <si>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</si>
  <si>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</si>
  <si>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</si>
  <si>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</si>
  <si>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</si>
  <si>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</si>
  <si>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</si>
  <si>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</si>
  <si>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</si>
  <si>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</si>
  <si>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</si>
  <si>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</si>
  <si>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</si>
  <si>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</si>
  <si>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</si>
  <si>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</si>
  <si>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</si>
  <si>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</si>
  <si>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</si>
  <si>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</si>
  <si>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</si>
  <si>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</si>
  <si>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</si>
  <si>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</si>
  <si>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</si>
  <si>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</si>
  <si>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</si>
  <si>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</si>
  <si>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</si>
  <si>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</si>
  <si>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</si>
  <si>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</si>
  <si>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</si>
  <si>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</si>
  <si>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</si>
  <si>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</si>
  <si>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</si>
  <si>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</si>
  <si>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</si>
  <si>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</si>
  <si>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</si>
  <si>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</si>
  <si>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</si>
  <si>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</si>
  <si>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</si>
  <si>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</si>
  <si>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</si>
  <si>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</si>
  <si>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</si>
  <si>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</si>
  <si>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</si>
  <si>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</si>
  <si>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</si>
  <si>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</si>
  <si>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</si>
  <si>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</si>
  <si>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</si>
  <si>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</si>
  <si>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</si>
  <si>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</si>
  <si>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</si>
  <si>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</si>
  <si>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</si>
  <si>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</si>
  <si>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</si>
  <si>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</si>
  <si>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</si>
  <si>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</si>
  <si>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</si>
  <si>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</si>
  <si>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</si>
  <si>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</si>
  <si>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</si>
  <si>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</si>
  <si>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</si>
  <si>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</si>
  <si>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</si>
  <si>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</si>
  <si>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</si>
  <si>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</si>
  <si>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</si>
  <si>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</si>
  <si>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</si>
  <si>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</si>
  <si>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</si>
  <si>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</si>
  <si>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</si>
  <si>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</si>
  <si>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</si>
  <si>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</si>
  <si>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</si>
  <si>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</si>
  <si>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</si>
  <si>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</si>
  <si>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</si>
  <si>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</si>
  <si>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</si>
  <si>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</si>
  <si>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</si>
  <si>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</si>
  <si>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</si>
  <si>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</si>
  <si>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</si>
  <si>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</si>
  <si>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</si>
  <si>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</si>
  <si>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</si>
  <si>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</si>
  <si>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</si>
  <si>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</si>
  <si>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</si>
  <si>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</si>
  <si>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</si>
  <si>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</si>
  <si>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</si>
  <si>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</si>
  <si>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</si>
  <si>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</si>
  <si>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</si>
  <si>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</si>
  <si>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</si>
  <si>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</si>
  <si>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</si>
  <si>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</si>
  <si>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</si>
  <si>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</si>
  <si>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</si>
  <si>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</si>
  <si>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</si>
  <si>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</si>
  <si>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</si>
  <si>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</si>
  <si>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</si>
  <si>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</si>
  <si>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</si>
  <si>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</si>
  <si>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</si>
  <si>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</si>
  <si>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</si>
  <si>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</si>
  <si>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</si>
  <si>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</si>
  <si>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</si>
  <si>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</si>
  <si>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</si>
  <si>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</si>
  <si>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</si>
  <si>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</si>
  <si>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</si>
  <si>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</si>
  <si>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</si>
  <si>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</si>
  <si>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</si>
  <si>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</si>
  <si>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</si>
  <si>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</si>
  <si>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</si>
  <si>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</si>
  <si>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</si>
  <si>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</si>
  <si>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</si>
  <si>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</si>
  <si>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</si>
  <si>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</si>
  <si>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</si>
  <si>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</si>
  <si>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</si>
  <si>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</si>
  <si>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</si>
  <si>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</si>
  <si>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</si>
  <si>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</si>
  <si>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</si>
  <si>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</si>
  <si>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</si>
  <si>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</si>
  <si>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</si>
  <si>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</si>
  <si>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</si>
  <si>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</si>
  <si>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</si>
  <si>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</si>
  <si>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</si>
  <si>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</si>
  <si>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</si>
  <si>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</si>
  <si>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</si>
  <si>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</si>
  <si>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</si>
  <si>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</si>
  <si>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</si>
  <si>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</si>
  <si>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</si>
  <si>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</si>
  <si>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</si>
  <si>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</si>
  <si>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</si>
  <si>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</si>
  <si>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</si>
  <si>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</si>
  <si>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</si>
  <si>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</si>
  <si>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</si>
  <si>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</si>
  <si>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</si>
  <si>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</si>
  <si>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</si>
  <si>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</si>
  <si>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</si>
  <si>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</si>
  <si>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</si>
  <si>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</si>
  <si>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</si>
  <si>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</si>
  <si>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</si>
  <si>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</si>
  <si>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</si>
  <si>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</si>
  <si>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</si>
  <si>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</si>
  <si>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</si>
  <si>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</si>
  <si>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</si>
  <si>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</si>
  <si>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</si>
  <si>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</si>
  <si>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</si>
  <si>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</si>
  <si>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</si>
  <si>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</si>
  <si>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</si>
  <si>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</si>
  <si>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</si>
  <si>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</si>
  <si>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</si>
  <si>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</si>
  <si>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</si>
  <si>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</si>
  <si>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</si>
  <si>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</si>
  <si>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</si>
  <si>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</si>
  <si>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</si>
  <si>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</si>
  <si>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</si>
  <si>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</si>
  <si>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</si>
  <si>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</si>
  <si>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</si>
  <si>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</si>
  <si>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</si>
  <si>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</si>
  <si>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</si>
  <si>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</si>
  <si>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</si>
  <si>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</si>
  <si>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</si>
  <si>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</si>
  <si>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</si>
  <si>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</si>
  <si>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</si>
  <si>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</si>
  <si>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</si>
  <si>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</si>
  <si>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</si>
  <si>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</si>
  <si>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</si>
  <si>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</si>
  <si>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</si>
  <si>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</si>
  <si>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</si>
  <si>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</si>
  <si>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</si>
  <si>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</si>
  <si>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</si>
  <si>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</si>
  <si>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</si>
  <si>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</si>
  <si>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</si>
  <si>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</si>
  <si>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</si>
  <si>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</si>
  <si>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</si>
  <si>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</si>
  <si>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</si>
  <si>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</si>
  <si>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</si>
  <si>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</si>
  <si>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</si>
  <si>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</si>
  <si>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</si>
  <si>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</si>
  <si>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</si>
  <si>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</si>
  <si>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</si>
  <si>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</si>
  <si>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</si>
  <si>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</si>
  <si>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</si>
  <si>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</si>
  <si>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</si>
  <si>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</si>
  <si>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</si>
  <si>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</si>
  <si>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</si>
  <si>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</si>
  <si>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</si>
  <si>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</si>
  <si>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</si>
  <si>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</si>
  <si>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</si>
  <si>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</si>
  <si>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</si>
  <si>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</si>
  <si>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</si>
  <si>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</si>
  <si>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</si>
  <si>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</si>
  <si>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</si>
  <si>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</si>
  <si>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</si>
  <si>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</si>
  <si>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</si>
  <si>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</si>
  <si>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</si>
  <si>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</si>
  <si>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</si>
  <si>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</si>
  <si>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</si>
  <si>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</si>
  <si>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</si>
  <si>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</si>
  <si>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</si>
  <si>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</si>
  <si>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</si>
  <si>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</si>
  <si>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</si>
  <si>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</si>
  <si>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</si>
  <si>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</si>
  <si>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</si>
  <si>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</si>
  <si>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</si>
  <si>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</si>
  <si>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</si>
  <si>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</si>
  <si>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</si>
  <si>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</si>
  <si>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</si>
  <si>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</si>
  <si>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</si>
  <si>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</si>
  <si>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</si>
  <si>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</si>
  <si>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</si>
  <si>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</si>
  <si>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</si>
  <si>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</si>
  <si>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</si>
  <si>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</si>
  <si>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</si>
  <si>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</si>
  <si>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</si>
  <si>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</si>
  <si>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</si>
  <si>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</si>
  <si>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</si>
  <si>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</si>
  <si>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</si>
  <si>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</si>
  <si>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</si>
  <si>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</si>
  <si>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</si>
  <si>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</si>
  <si>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</si>
  <si>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</si>
  <si>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</si>
  <si>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</si>
  <si>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</si>
  <si>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</si>
  <si>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</si>
  <si>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</si>
  <si>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</si>
  <si>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</si>
  <si>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</si>
  <si>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</si>
  <si>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</si>
  <si>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</si>
  <si>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</si>
  <si>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</si>
  <si>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</si>
  <si>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</si>
  <si>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</si>
  <si>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</si>
  <si>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</si>
  <si>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</si>
  <si>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</si>
  <si>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</si>
  <si>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</si>
  <si>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</si>
  <si>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</si>
  <si>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</si>
  <si>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</si>
  <si>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</si>
  <si>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</si>
  <si>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</si>
  <si>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</si>
  <si>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</si>
  <si>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</si>
  <si>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</si>
  <si>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</si>
  <si>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</si>
  <si>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</si>
  <si>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</si>
  <si>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</si>
  <si>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</si>
  <si>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</si>
  <si>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</si>
  <si>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</si>
  <si>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</si>
  <si>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</si>
  <si>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</si>
  <si>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</si>
  <si>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</si>
  <si>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</si>
  <si>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</si>
  <si>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</si>
  <si>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</si>
  <si>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</si>
  <si>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</si>
  <si>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</si>
  <si>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</si>
  <si>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</si>
  <si>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</si>
  <si>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</si>
  <si>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</si>
  <si>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</si>
  <si>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</si>
  <si>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</si>
  <si>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</si>
  <si>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</si>
  <si>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</si>
  <si>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</si>
  <si>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</si>
  <si>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</si>
  <si>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</si>
  <si>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</si>
  <si>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</si>
  <si>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</si>
  <si>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</si>
  <si>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</si>
  <si>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</si>
  <si>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</si>
  <si>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</si>
  <si>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</si>
  <si>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</si>
  <si>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</si>
  <si>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</si>
  <si>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</si>
  <si>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</si>
  <si>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</si>
  <si>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</si>
  <si>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</si>
  <si>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</si>
  <si>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</si>
  <si>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</si>
  <si>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</si>
  <si>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</si>
  <si>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</si>
  <si>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</si>
  <si>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</si>
  <si>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</si>
  <si>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</si>
  <si>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</si>
  <si>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</si>
  <si>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</si>
  <si>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</si>
  <si>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</si>
  <si>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</si>
  <si>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</si>
  <si>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</si>
  <si>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</si>
  <si>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</si>
  <si>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</si>
  <si>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</si>
  <si>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</si>
  <si>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</si>
  <si>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</si>
  <si>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</si>
  <si>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</si>
  <si>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</si>
  <si>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</si>
  <si>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</si>
  <si>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</si>
  <si>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</si>
  <si>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</si>
  <si>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</si>
  <si>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</si>
  <si>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</si>
  <si>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</si>
  <si>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</si>
  <si>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</si>
  <si>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</si>
  <si>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</si>
  <si>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</si>
  <si>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</si>
  <si>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</si>
  <si>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</si>
  <si>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</si>
  <si>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</si>
  <si>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</si>
  <si>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</si>
  <si>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</si>
  <si>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</si>
  <si>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</si>
  <si>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</si>
  <si>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</si>
  <si>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</si>
  <si>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</si>
  <si>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</si>
  <si>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</si>
  <si>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</si>
  <si>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</si>
  <si>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</si>
  <si>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</si>
  <si>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</si>
  <si>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</si>
  <si>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</si>
  <si>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</si>
  <si>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</si>
  <si>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</si>
  <si>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</si>
  <si>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</si>
  <si>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</si>
  <si>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</si>
  <si>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</si>
  <si>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</si>
  <si>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</si>
  <si>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</si>
  <si>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</si>
  <si>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</si>
  <si>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</si>
  <si>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</si>
  <si>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</si>
  <si>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</si>
  <si>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</si>
  <si>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</si>
  <si>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</si>
  <si>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</si>
  <si>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</si>
  <si>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</si>
  <si>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</si>
  <si>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</si>
  <si>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</si>
  <si>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</si>
  <si>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</si>
  <si>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</si>
  <si>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</si>
  <si>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</si>
  <si>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</si>
  <si>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</si>
  <si>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</si>
  <si>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</si>
  <si>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</si>
  <si>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</si>
  <si>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</si>
  <si>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</si>
  <si>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</si>
  <si>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</si>
  <si>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</si>
  <si>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</si>
  <si>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</si>
  <si>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</si>
  <si>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</si>
  <si>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</si>
  <si>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</si>
  <si>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</si>
  <si>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</si>
  <si>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</si>
  <si>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</si>
  <si>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</si>
  <si>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</si>
  <si>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</si>
  <si>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</si>
  <si>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</si>
  <si>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</si>
  <si>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</si>
  <si>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</si>
  <si>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</si>
  <si>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</si>
  <si>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</si>
  <si>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</si>
  <si>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</si>
  <si>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</si>
  <si>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</si>
  <si>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</si>
  <si>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</si>
  <si>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</si>
  <si>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</si>
  <si>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</si>
  <si>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</si>
  <si>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</si>
  <si>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</si>
  <si>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</si>
  <si>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</si>
  <si>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</si>
  <si>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</si>
  <si>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</si>
  <si>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</si>
  <si>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</si>
  <si>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</si>
  <si>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</si>
  <si>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</si>
  <si>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</si>
  <si>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</si>
  <si>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</si>
  <si>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</si>
  <si>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</si>
  <si>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</si>
  <si>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</si>
  <si>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</si>
  <si>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</si>
  <si>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</si>
  <si>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</si>
  <si>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</si>
  <si>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</si>
  <si>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</si>
  <si>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</si>
  <si>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</si>
  <si>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</si>
  <si>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</si>
  <si>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</si>
  <si>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</si>
  <si>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</si>
  <si>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</si>
  <si>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</si>
  <si>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</si>
  <si>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</si>
  <si>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</si>
  <si>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</si>
  <si>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</si>
  <si>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</si>
  <si>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</si>
  <si>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</si>
  <si>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</si>
  <si>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</si>
  <si>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</si>
  <si>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</si>
  <si>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</si>
  <si>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</si>
  <si>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</si>
  <si>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</si>
  <si>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</si>
  <si>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</si>
  <si>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</si>
  <si>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</si>
  <si>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</si>
  <si>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</si>
  <si>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</si>
  <si>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</si>
  <si>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</si>
  <si>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</si>
  <si>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</si>
  <si>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</si>
  <si>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</si>
  <si>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</si>
  <si>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</si>
  <si>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</si>
  <si>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</si>
  <si>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</si>
  <si>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</si>
  <si>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</si>
  <si>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</si>
  <si>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</si>
  <si>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</si>
  <si>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</si>
  <si>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</si>
  <si>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</si>
  <si>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</si>
  <si>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</si>
  <si>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</si>
  <si>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</si>
  <si>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</si>
  <si>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</si>
  <si>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</si>
  <si>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</si>
  <si>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</si>
  <si>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</si>
  <si>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</si>
  <si>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</si>
  <si>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</si>
  <si>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</si>
  <si>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</si>
  <si>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</si>
  <si>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</si>
  <si>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</si>
  <si>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</si>
  <si>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</si>
  <si>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</si>
  <si>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</si>
  <si>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</si>
  <si>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</si>
  <si>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</si>
  <si>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</si>
  <si>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</si>
  <si>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</si>
  <si>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</si>
  <si>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</si>
  <si>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</si>
  <si>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</si>
  <si>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</si>
  <si>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</si>
  <si>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</si>
  <si>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</si>
  <si>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</si>
  <si>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</si>
  <si>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</si>
  <si>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</si>
  <si>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</si>
  <si>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</si>
  <si>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</si>
  <si>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</si>
  <si>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</si>
  <si>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</si>
  <si>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</si>
  <si>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</si>
  <si>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</si>
  <si>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</si>
  <si>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</si>
  <si>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</si>
  <si>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</si>
  <si>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</si>
  <si>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</si>
  <si>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</si>
  <si>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</si>
  <si>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</si>
  <si>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</si>
  <si>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</si>
  <si>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</si>
  <si>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</si>
  <si>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</si>
  <si>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</si>
  <si>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</si>
  <si>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</si>
  <si>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</si>
  <si>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</si>
  <si>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</si>
  <si>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</si>
  <si>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</si>
  <si>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</si>
  <si>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</si>
  <si>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</si>
  <si>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</si>
  <si>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</si>
  <si>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</si>
  <si>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</si>
  <si>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</si>
  <si>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</si>
  <si>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</si>
  <si>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</si>
  <si>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</si>
  <si>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</si>
  <si>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</si>
  <si>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</si>
  <si>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</si>
  <si>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</si>
  <si>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</si>
  <si>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</si>
  <si>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</si>
  <si>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</si>
  <si>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</si>
  <si>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</si>
  <si>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</si>
  <si>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</si>
  <si>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</si>
  <si>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</si>
  <si>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</si>
  <si>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</si>
  <si>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</si>
  <si>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</si>
  <si>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</si>
  <si>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</si>
  <si>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</si>
  <si>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</si>
  <si>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</si>
  <si>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</si>
  <si>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</si>
  <si>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</si>
  <si>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</si>
  <si>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</si>
  <si>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</si>
  <si>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</si>
  <si>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</si>
  <si>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</si>
  <si>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</si>
  <si>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</si>
  <si>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</si>
  <si>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</si>
  <si>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</si>
  <si>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</si>
  <si>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</si>
  <si>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</si>
  <si>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</si>
  <si>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</si>
  <si>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</si>
  <si>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</si>
  <si>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</si>
  <si>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</si>
  <si>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</si>
  <si>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</si>
  <si>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</si>
  <si>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</si>
  <si>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</si>
  <si>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</si>
  <si>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</si>
  <si>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</si>
  <si>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</si>
  <si>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</si>
  <si>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</si>
  <si>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</si>
  <si>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</si>
  <si>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</si>
  <si>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</si>
  <si>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</si>
  <si>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</si>
  <si>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</si>
  <si>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</si>
  <si>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</si>
  <si>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</si>
  <si>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</si>
  <si>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</si>
  <si>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</si>
  <si>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</si>
  <si>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</si>
  <si>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</si>
  <si>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</si>
  <si>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</si>
  <si>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</si>
  <si>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</si>
  <si>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</si>
  <si>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</si>
  <si>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</si>
  <si>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</si>
  <si>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</si>
  <si>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</si>
  <si>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</si>
  <si>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</si>
  <si>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</si>
  <si>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</si>
  <si>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</si>
  <si>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</si>
  <si>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</si>
  <si>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</si>
  <si>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</si>
  <si>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</si>
  <si>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</si>
  <si>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</si>
  <si>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</si>
  <si>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</si>
  <si>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</si>
  <si>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</si>
  <si>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</si>
  <si>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</si>
  <si>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</si>
  <si>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</si>
  <si>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</si>
  <si>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</si>
  <si>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</si>
  <si>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</si>
  <si>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</si>
  <si>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</si>
  <si>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</si>
  <si>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</si>
  <si>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</si>
  <si>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</si>
  <si>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</si>
  <si>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</si>
  <si>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</si>
  <si>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</si>
  <si>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</si>
  <si>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</si>
  <si>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</si>
  <si>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</si>
  <si>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</si>
  <si>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</si>
  <si>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</si>
  <si>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</si>
  <si>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</si>
  <si>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</si>
  <si>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</si>
  <si>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</si>
  <si>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</si>
  <si>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</si>
  <si>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</si>
  <si>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</si>
  <si>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</si>
  <si>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</si>
  <si>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</si>
  <si>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</si>
  <si>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</si>
  <si>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</si>
  <si>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</si>
  <si>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</si>
  <si>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</si>
  <si>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</si>
  <si>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</si>
  <si>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</si>
  <si>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</si>
  <si>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</si>
  <si>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</si>
  <si>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</si>
  <si>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</si>
  <si>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</si>
  <si>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</si>
  <si>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</si>
  <si>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</si>
  <si>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</si>
  <si>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</si>
  <si>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</si>
  <si>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</si>
  <si>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</si>
  <si>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</si>
  <si>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</si>
  <si>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</si>
  <si>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</si>
  <si>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</si>
  <si>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</si>
  <si>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</si>
  <si>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</si>
  <si>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</si>
  <si>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</si>
  <si>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</si>
  <si>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</si>
  <si>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</si>
  <si>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</si>
  <si>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</si>
  <si>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</si>
  <si>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</si>
  <si>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</si>
  <si>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</si>
  <si>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</si>
  <si>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</si>
  <si>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</si>
  <si>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</si>
  <si>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</si>
  <si>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</si>
  <si>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</si>
  <si>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</si>
  <si>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</si>
  <si>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</si>
  <si>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</si>
  <si>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</si>
  <si>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</si>
  <si>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</si>
  <si>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</si>
  <si>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</si>
  <si>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</si>
  <si>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</si>
  <si>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</si>
  <si>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</si>
  <si>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</si>
  <si>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</si>
  <si>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</si>
  <si>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</si>
  <si>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</si>
  <si>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</si>
  <si>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</si>
  <si>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</si>
  <si>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</si>
  <si>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</si>
  <si>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</si>
  <si>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</si>
  <si>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</si>
  <si>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</si>
  <si>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</si>
  <si>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</si>
  <si>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</si>
  <si>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</si>
  <si>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</si>
  <si>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</si>
  <si>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</si>
  <si>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</si>
  <si>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</si>
  <si>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</si>
  <si>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</si>
  <si>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</si>
  <si>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</si>
  <si>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</si>
  <si>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</si>
  <si>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</si>
  <si>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</si>
  <si>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</si>
  <si>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</si>
  <si>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</si>
  <si>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</si>
  <si>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</si>
  <si>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</si>
  <si>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</si>
  <si>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</si>
  <si>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</si>
  <si>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</si>
  <si>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</si>
  <si>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</si>
  <si>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</si>
  <si>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</si>
  <si>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</si>
  <si>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</si>
  <si>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</si>
  <si>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</si>
  <si>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</si>
  <si>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</si>
  <si>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</si>
  <si>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</si>
  <si>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</si>
  <si>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</si>
  <si>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</si>
  <si>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</si>
  <si>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</si>
  <si>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</si>
  <si>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</si>
  <si>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</si>
  <si>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</si>
  <si>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</si>
  <si>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</si>
  <si>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</si>
  <si>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</si>
  <si>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</si>
  <si>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</si>
  <si>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</si>
  <si>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</si>
  <si>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</si>
  <si>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</si>
  <si>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</si>
  <si>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</si>
  <si>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</si>
  <si>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</si>
  <si>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</si>
  <si>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</si>
  <si>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</si>
  <si>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</si>
  <si>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</si>
  <si>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</si>
  <si>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</si>
  <si>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</si>
  <si>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</si>
  <si>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</si>
  <si>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</si>
  <si>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</si>
  <si>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</si>
  <si>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</si>
  <si>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</si>
  <si>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</si>
  <si>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</si>
  <si>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</si>
  <si>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</si>
  <si>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</si>
  <si>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</si>
  <si>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</si>
  <si>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</si>
  <si>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</si>
  <si>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</si>
  <si>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</si>
  <si>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</si>
  <si>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</si>
  <si>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</si>
  <si>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</si>
  <si>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</si>
  <si>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</si>
  <si>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</si>
  <si>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</si>
  <si>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</si>
  <si>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</si>
  <si>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</si>
  <si>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</si>
  <si>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</si>
  <si>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</si>
  <si>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</si>
  <si>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</si>
  <si>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</si>
  <si>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</si>
  <si>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</si>
  <si>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</si>
  <si>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</si>
  <si>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</si>
  <si>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</si>
  <si>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</si>
  <si>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</si>
  <si>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</si>
  <si>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</si>
  <si>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</si>
  <si>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</si>
  <si>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</si>
  <si>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</si>
  <si>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</si>
  <si>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</si>
  <si>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</si>
  <si>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</si>
  <si>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</si>
  <si>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</si>
  <si>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</si>
  <si>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</si>
  <si>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</si>
  <si>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</si>
  <si>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</si>
  <si>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</si>
  <si>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</si>
  <si>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</si>
  <si>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</si>
  <si>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</si>
  <si>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</si>
  <si>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</si>
  <si>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</si>
  <si>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</si>
  <si>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</si>
  <si>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</si>
  <si>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</si>
  <si>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</si>
  <si>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</si>
  <si>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</si>
  <si>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</si>
  <si>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</si>
  <si>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</si>
  <si>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</si>
  <si>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</si>
  <si>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</si>
  <si>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</si>
  <si>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</si>
  <si>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</si>
  <si>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</si>
  <si>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</si>
  <si>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</si>
  <si>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</si>
  <si>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</si>
  <si>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</si>
  <si>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</si>
  <si>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</si>
  <si>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</si>
  <si>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</si>
  <si>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</si>
  <si>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</si>
  <si>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</si>
  <si>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</si>
  <si>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</si>
  <si>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</si>
  <si>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</si>
  <si>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</si>
  <si>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</si>
  <si>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</si>
  <si>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</si>
  <si>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</si>
  <si>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</si>
  <si>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</si>
  <si>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</si>
  <si>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</si>
  <si>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</si>
  <si>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</si>
  <si>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</si>
  <si>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</si>
  <si>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</si>
  <si>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</si>
  <si>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</si>
  <si>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</si>
  <si>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</si>
  <si>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</si>
  <si>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</si>
  <si>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</si>
  <si>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</si>
  <si>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</si>
  <si>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</si>
  <si>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</si>
  <si>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</si>
  <si>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</si>
  <si>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</si>
  <si>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</si>
  <si>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</si>
  <si>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</si>
  <si>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</si>
  <si>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</si>
  <si>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</si>
  <si>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</si>
  <si>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</si>
  <si>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</si>
  <si>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</si>
  <si>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</si>
  <si>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</si>
  <si>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</si>
  <si>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</si>
  <si>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</si>
  <si>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</si>
  <si>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</si>
  <si>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</si>
  <si>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</si>
  <si>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</si>
  <si>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</si>
  <si>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</si>
  <si>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</si>
  <si>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</si>
  <si>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</si>
  <si>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</si>
  <si>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</si>
  <si>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</si>
  <si>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</si>
  <si>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</si>
  <si>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</si>
  <si>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</si>
  <si>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</si>
  <si>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</si>
  <si>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</si>
  <si>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</si>
  <si>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</si>
  <si>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</si>
  <si>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</si>
  <si>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</si>
  <si>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</si>
  <si>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</si>
  <si>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</si>
  <si>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</si>
  <si>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</si>
  <si>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</si>
  <si>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</si>
  <si>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</si>
  <si>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</si>
  <si>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</si>
  <si>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</si>
  <si>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</si>
  <si>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</si>
  <si>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</si>
  <si>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</si>
  <si>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</si>
  <si>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</si>
  <si>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</si>
  <si>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</si>
  <si>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</si>
  <si>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</si>
  <si>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</si>
  <si>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</si>
  <si>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</si>
  <si>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</si>
  <si>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</si>
  <si>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</si>
  <si>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</si>
  <si>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</si>
  <si>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</si>
  <si>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</si>
  <si>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</si>
  <si>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</si>
  <si>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</si>
  <si>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</si>
  <si>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</si>
  <si>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</si>
  <si>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</si>
  <si>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</si>
  <si>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</si>
  <si>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</si>
  <si>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</si>
  <si>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</si>
  <si>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</si>
  <si>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</si>
  <si>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</si>
  <si>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</si>
  <si>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</si>
  <si>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</si>
  <si>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</si>
  <si>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</si>
  <si>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</si>
  <si>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</si>
  <si>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</si>
  <si>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</si>
  <si>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</si>
  <si>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</si>
  <si>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</si>
  <si>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</si>
  <si>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</si>
  <si>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</si>
  <si>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</si>
  <si>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</si>
  <si>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</si>
  <si>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</si>
  <si>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</si>
  <si>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</si>
  <si>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</si>
  <si>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</si>
  <si>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</si>
  <si>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</si>
  <si>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</si>
  <si>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</si>
  <si>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</si>
  <si>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</si>
  <si>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</si>
  <si>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</si>
  <si>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</si>
  <si>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</si>
  <si>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</si>
  <si>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</si>
  <si>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</si>
  <si>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</si>
  <si>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</si>
  <si>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</si>
  <si>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</si>
  <si>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</si>
  <si>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</si>
  <si>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</si>
  <si>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</si>
  <si>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</si>
  <si>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</si>
  <si>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</si>
  <si>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</si>
  <si>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</si>
  <si>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</si>
  <si>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</si>
  <si>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</si>
  <si>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</si>
  <si>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</si>
  <si>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</si>
  <si>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</si>
  <si>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</si>
  <si>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</si>
  <si>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</si>
  <si>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</si>
  <si>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</si>
  <si>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</si>
  <si>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</si>
  <si>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</si>
  <si>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</si>
  <si>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</si>
  <si>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</si>
  <si>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</si>
  <si>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</si>
  <si>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</si>
  <si>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</si>
  <si>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</si>
  <si>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</si>
  <si>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</si>
  <si>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</si>
  <si>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</si>
  <si>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</si>
  <si>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</si>
  <si>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</si>
  <si>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</si>
  <si>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</si>
  <si>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</si>
  <si>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</si>
  <si>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</si>
  <si>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</si>
  <si>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</si>
  <si>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</si>
  <si>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</si>
  <si>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</si>
  <si>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</si>
  <si>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</si>
  <si>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</si>
  <si>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</si>
  <si>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</si>
  <si>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</si>
  <si>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</si>
  <si>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</si>
  <si>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</si>
  <si>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</si>
  <si>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</si>
  <si>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</si>
  <si>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</si>
  <si>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</si>
  <si>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</si>
  <si>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</si>
  <si>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</si>
  <si>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</si>
  <si>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</si>
  <si>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</si>
  <si>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</si>
  <si>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</si>
  <si>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</si>
  <si>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</si>
  <si>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</si>
  <si>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</si>
  <si>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</si>
  <si>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</si>
  <si>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</si>
  <si>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</si>
  <si>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</si>
  <si>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</si>
  <si>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</si>
  <si>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</si>
  <si>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</si>
  <si>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</si>
  <si>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</si>
  <si>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</si>
  <si>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</si>
  <si>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</si>
  <si>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</si>
  <si>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</si>
  <si>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</si>
  <si>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</si>
  <si>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</si>
  <si>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</si>
  <si>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</si>
  <si>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</si>
  <si>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</si>
  <si>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</si>
  <si>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</si>
  <si>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</si>
  <si>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</si>
  <si>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</si>
  <si>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</si>
  <si>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</si>
  <si>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</si>
  <si>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</si>
  <si>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</si>
  <si>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</si>
  <si>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</si>
  <si>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</si>
  <si>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</si>
  <si>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</si>
  <si>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</si>
  <si>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</si>
  <si>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</si>
  <si>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</si>
  <si>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</si>
  <si>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</si>
  <si>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</si>
  <si>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</si>
  <si>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</si>
  <si>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</si>
  <si>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</si>
  <si>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</si>
  <si>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</si>
  <si>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</si>
  <si>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</si>
  <si>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</si>
  <si>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</si>
  <si>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</si>
  <si>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</si>
  <si>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</si>
  <si>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</si>
  <si>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</si>
  <si>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</si>
  <si>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</si>
  <si>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</si>
  <si>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</si>
  <si>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</si>
  <si>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</si>
  <si>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</si>
  <si>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</si>
  <si>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</si>
  <si>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</si>
  <si>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</si>
  <si>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</si>
  <si>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</si>
  <si>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</si>
  <si>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</si>
  <si>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</si>
  <si>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</si>
  <si>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</si>
  <si>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</si>
  <si>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</si>
  <si>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</si>
  <si>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</si>
  <si>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</si>
  <si>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</si>
  <si>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</si>
  <si>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</si>
  <si>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</si>
  <si>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</si>
  <si>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</si>
  <si>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</si>
  <si>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</si>
  <si>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</si>
  <si>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</si>
  <si>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</si>
  <si>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</si>
  <si>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</si>
  <si>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</si>
  <si>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</si>
  <si>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</si>
  <si>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</si>
  <si>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</si>
  <si>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</si>
  <si>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</si>
  <si>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</si>
  <si>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</si>
  <si>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</si>
  <si>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</si>
  <si>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</si>
  <si>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</si>
  <si>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</si>
  <si>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</si>
  <si>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</si>
  <si>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</si>
  <si>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</si>
  <si>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</si>
  <si>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</si>
  <si>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</si>
  <si>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</si>
  <si>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</si>
  <si>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</si>
  <si>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</si>
  <si>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</si>
  <si>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</si>
  <si>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</si>
  <si>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</si>
  <si>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</si>
  <si>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</si>
  <si>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</si>
  <si>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</si>
  <si>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</si>
  <si>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</si>
  <si>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</si>
  <si>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</si>
  <si>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</si>
  <si>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</si>
  <si>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</si>
  <si>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</si>
  <si>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</si>
  <si>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</si>
  <si>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</si>
  <si>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</si>
  <si>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</si>
  <si>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</si>
  <si>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</si>
  <si>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</si>
  <si>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</si>
  <si>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</si>
  <si>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</si>
  <si>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</si>
  <si>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</si>
  <si>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</si>
  <si>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</si>
  <si>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</si>
  <si>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</si>
  <si>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</si>
  <si>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</si>
  <si>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</si>
  <si>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</si>
  <si>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</si>
  <si>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</si>
  <si>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</si>
  <si>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</si>
  <si>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</si>
  <si>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</si>
  <si>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</si>
  <si>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</si>
  <si>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</si>
  <si>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</si>
  <si>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</si>
  <si>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</si>
  <si>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</si>
  <si>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</si>
  <si>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</si>
  <si>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</si>
  <si>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</si>
  <si>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</si>
  <si>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</si>
  <si>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</si>
  <si>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</si>
  <si>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</si>
  <si>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</si>
  <si>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</si>
  <si>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</si>
  <si>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</si>
  <si>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</si>
  <si>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</si>
  <si>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</si>
  <si>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</si>
  <si>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</si>
  <si>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</si>
  <si>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</si>
  <si>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</si>
  <si>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</si>
  <si>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</si>
  <si>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</si>
  <si>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</si>
  <si>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</si>
  <si>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</si>
  <si>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</si>
  <si>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</si>
  <si>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</si>
  <si>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</si>
  <si>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</si>
  <si>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</si>
  <si>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</si>
  <si>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</si>
  <si>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</si>
  <si>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</si>
  <si>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</si>
  <si>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</si>
  <si>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</si>
  <si>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</si>
  <si>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</si>
  <si>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</si>
  <si>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</si>
  <si>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</si>
  <si>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</si>
  <si>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</si>
  <si>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</si>
  <si>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</si>
  <si>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</si>
  <si>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</si>
  <si>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</si>
  <si>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</si>
  <si>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</si>
  <si>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</si>
  <si>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</si>
  <si>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</si>
  <si>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</si>
  <si>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</si>
  <si>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</si>
  <si>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</si>
  <si>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</si>
  <si>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</si>
  <si>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</si>
  <si>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</si>
  <si>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</si>
  <si>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</si>
  <si>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</si>
  <si>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</si>
  <si>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</si>
  <si>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</si>
  <si>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</si>
  <si>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</si>
  <si>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</si>
  <si>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</si>
  <si>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</si>
  <si>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</si>
  <si>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</si>
  <si>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</si>
  <si>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</si>
  <si>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</si>
  <si>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</si>
  <si>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</si>
  <si>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</si>
  <si>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</si>
  <si>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</si>
  <si>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</si>
  <si>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</si>
  <si>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</si>
  <si>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</si>
  <si>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</si>
  <si>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</si>
  <si>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</si>
  <si>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</si>
  <si>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</si>
  <si>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</si>
  <si>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</si>
  <si>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</si>
  <si>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</si>
  <si>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</si>
  <si>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</si>
  <si>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</si>
  <si>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</si>
  <si>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</si>
  <si>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</si>
  <si>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</si>
  <si>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</si>
  <si>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</si>
  <si>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</si>
  <si>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</si>
  <si>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</si>
  <si>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</si>
  <si>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</si>
  <si>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</si>
  <si>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</si>
  <si>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</si>
  <si>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</si>
  <si>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</si>
  <si>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</si>
  <si>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</si>
  <si>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</si>
  <si>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</si>
  <si>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</si>
  <si>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</si>
  <si>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</si>
  <si>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</si>
  <si>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</si>
  <si>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</si>
  <si>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</si>
  <si>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</si>
  <si>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</si>
  <si>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</si>
  <si>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</si>
  <si>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</si>
  <si>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</si>
  <si>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</si>
  <si>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</si>
  <si>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</si>
  <si>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</si>
  <si>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</si>
  <si>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</si>
  <si>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</si>
  <si>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</si>
  <si>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</si>
  <si>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</si>
  <si>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</si>
  <si>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</si>
  <si>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</si>
  <si>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</si>
  <si>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</si>
  <si>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</si>
  <si>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</si>
  <si>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</si>
  <si>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</si>
  <si>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</si>
  <si>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</si>
  <si>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</si>
  <si>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</si>
  <si>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</si>
  <si>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</si>
  <si>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</si>
  <si>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</si>
  <si>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</si>
  <si>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</si>
  <si>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</si>
  <si>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</si>
  <si>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</si>
  <si>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</si>
  <si>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</si>
  <si>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</si>
  <si>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</si>
  <si>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</si>
  <si>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</si>
  <si>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</si>
  <si>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</si>
  <si>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</si>
  <si>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</si>
  <si>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</si>
  <si>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</si>
  <si>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</si>
  <si>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</si>
  <si>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</si>
  <si>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</si>
  <si>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</si>
  <si>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</si>
  <si>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</si>
  <si>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</si>
  <si>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</si>
  <si>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</si>
  <si>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</si>
  <si>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</si>
  <si>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</si>
  <si>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</si>
  <si>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</si>
  <si>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</si>
  <si>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</si>
  <si>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</si>
  <si>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</si>
  <si>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</si>
  <si>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</si>
  <si>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</si>
  <si>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</si>
  <si>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</si>
  <si>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</si>
  <si>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</si>
  <si>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</si>
  <si>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</si>
  <si>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</si>
  <si>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</si>
  <si>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</si>
  <si>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</si>
  <si>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</si>
  <si>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</si>
  <si>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</si>
  <si>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</si>
  <si>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</si>
  <si>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</si>
  <si>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</si>
  <si>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</si>
  <si>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</si>
  <si>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</si>
  <si>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</si>
  <si>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</si>
  <si>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</si>
  <si>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</si>
  <si>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</si>
  <si>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</si>
  <si>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</si>
  <si>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</si>
  <si>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</si>
  <si>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</si>
  <si>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</si>
  <si>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</si>
  <si>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</si>
  <si>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</si>
  <si>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</si>
  <si>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</si>
  <si>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</si>
  <si>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</si>
  <si>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</si>
  <si>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</si>
  <si>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</si>
  <si>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</si>
  <si>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</si>
  <si>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</si>
  <si>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</si>
  <si>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</si>
  <si>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</si>
  <si>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</si>
  <si>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</si>
  <si>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</si>
  <si>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</si>
  <si>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</si>
  <si>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</si>
  <si>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</si>
  <si>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</si>
  <si>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</si>
  <si>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</si>
  <si>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</si>
  <si>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</si>
  <si>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</si>
  <si>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</si>
  <si>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</si>
  <si>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</si>
  <si>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</si>
  <si>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</si>
  <si>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</si>
  <si>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</si>
  <si>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</si>
  <si>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</si>
  <si>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</si>
  <si>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</si>
  <si>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</si>
  <si>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</si>
  <si>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</si>
  <si>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</si>
  <si>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</si>
  <si>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</si>
  <si>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</si>
  <si>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</si>
  <si>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</si>
  <si>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</si>
  <si>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</si>
  <si>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</si>
  <si>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</si>
  <si>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</si>
  <si>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</si>
  <si>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</si>
  <si>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</si>
  <si>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</si>
  <si>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</si>
  <si>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</si>
  <si>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</si>
  <si>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</si>
  <si>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</si>
  <si>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</si>
  <si>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</si>
  <si>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</si>
  <si>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</si>
  <si>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</si>
  <si>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</si>
  <si>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</si>
  <si>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</si>
  <si>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</si>
  <si>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</si>
  <si>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</si>
  <si>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</si>
  <si>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</si>
  <si>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</si>
  <si>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</si>
  <si>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</si>
  <si>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</si>
  <si>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</si>
  <si>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</si>
  <si>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</si>
  <si>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</si>
  <si>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</si>
  <si>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</si>
  <si>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</si>
  <si>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</si>
  <si>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</si>
  <si>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</si>
  <si>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</si>
  <si>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</si>
  <si>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</si>
  <si>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</si>
  <si>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</si>
  <si>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</si>
  <si>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</si>
  <si>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</si>
  <si>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</si>
  <si>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</si>
  <si>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</si>
  <si>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</si>
  <si>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</si>
  <si>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</si>
  <si>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</si>
  <si>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</si>
  <si>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</si>
  <si>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</si>
  <si>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</si>
  <si>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</si>
  <si>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</si>
  <si>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</si>
  <si>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</si>
  <si>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</si>
  <si>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</si>
  <si>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</si>
  <si>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</si>
  <si>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</si>
  <si>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</si>
  <si>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</si>
  <si>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</si>
  <si>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</si>
  <si>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</si>
  <si>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</si>
  <si>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</si>
  <si>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</si>
  <si>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</si>
  <si>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</si>
  <si>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</si>
  <si>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</si>
  <si>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</si>
  <si>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</si>
  <si>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</si>
  <si>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</si>
  <si>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</si>
  <si>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</si>
  <si>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</si>
  <si>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</si>
  <si>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</si>
  <si>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</si>
  <si>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</si>
  <si>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</si>
  <si>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</si>
  <si>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</si>
  <si>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</si>
  <si>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</si>
  <si>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</si>
  <si>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</si>
  <si>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</si>
  <si>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</si>
  <si>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</si>
  <si>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</si>
  <si>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</si>
  <si>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</si>
  <si>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</si>
  <si>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</si>
  <si>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</si>
  <si>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</si>
  <si>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</si>
  <si>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</si>
  <si>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</si>
  <si>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</si>
  <si>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</si>
  <si>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</si>
  <si>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</si>
  <si>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</si>
  <si>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</si>
  <si>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</si>
  <si>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</si>
  <si>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</si>
  <si>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</si>
  <si>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</si>
  <si>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</si>
  <si>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</si>
  <si>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</si>
  <si>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</si>
  <si>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</si>
  <si>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</si>
  <si>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</si>
  <si>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</si>
  <si>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</si>
  <si>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</si>
  <si>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</si>
  <si>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</si>
  <si>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</si>
  <si>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</si>
  <si>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</si>
  <si>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</si>
  <si>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</si>
  <si>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</si>
  <si>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</si>
  <si>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</si>
  <si>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</si>
  <si>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</si>
  <si>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</si>
  <si>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</si>
  <si>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</si>
  <si>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</si>
  <si>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</si>
  <si>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</si>
  <si>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</si>
  <si>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</si>
  <si>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</si>
  <si>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</si>
  <si>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</si>
  <si>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</si>
  <si>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</si>
  <si>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</si>
  <si>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</si>
  <si>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</si>
  <si>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</si>
  <si>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</si>
  <si>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</si>
  <si>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</si>
  <si>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</si>
  <si>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</si>
  <si>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</si>
  <si>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</si>
  <si>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</si>
  <si>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</si>
  <si>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</si>
  <si>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</si>
  <si>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</si>
  <si>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</si>
  <si>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</si>
  <si>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</si>
  <si>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</si>
  <si>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</si>
  <si>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</si>
  <si>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</si>
  <si>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</si>
  <si>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</si>
  <si>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</si>
  <si>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</si>
  <si>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</si>
  <si>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</si>
  <si>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</si>
  <si>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</si>
  <si>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</si>
  <si>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</si>
  <si>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</si>
  <si>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</si>
  <si>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</si>
  <si>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</si>
  <si>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</si>
  <si>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</si>
  <si>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</si>
  <si>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</si>
  <si>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</si>
  <si>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</si>
  <si>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</si>
  <si>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</si>
  <si>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</si>
  <si>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</si>
  <si>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</si>
  <si>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</si>
  <si>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</si>
  <si>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</si>
  <si>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</si>
  <si>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</si>
  <si>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</si>
  <si>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</si>
  <si>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</si>
  <si>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</si>
  <si>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</si>
  <si>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</si>
  <si>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</si>
  <si>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</si>
  <si>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</si>
  <si>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</si>
  <si>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</si>
  <si>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</si>
  <si>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</si>
  <si>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</si>
  <si>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</si>
  <si>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</si>
  <si>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</si>
  <si>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</si>
  <si>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</si>
  <si>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</si>
  <si>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</si>
  <si>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</si>
  <si>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</si>
  <si>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</si>
  <si>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</si>
  <si>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</si>
  <si>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</si>
  <si>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</si>
  <si>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</si>
  <si>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</si>
  <si>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</si>
  <si>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</si>
  <si>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</si>
  <si>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</si>
  <si>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</si>
  <si>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</si>
  <si>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</si>
  <si>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</si>
  <si>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</si>
  <si>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</si>
  <si>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</si>
  <si>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</si>
  <si>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</si>
  <si>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</si>
  <si>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</si>
  <si>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</si>
  <si>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</si>
  <si>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</si>
  <si>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</si>
  <si>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</si>
  <si>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</si>
  <si>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</si>
  <si>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</si>
  <si>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</si>
  <si>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</si>
  <si>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</si>
  <si>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</si>
  <si>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</si>
  <si>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</si>
  <si>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</si>
  <si>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</si>
  <si>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</si>
  <si>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</si>
  <si>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</si>
  <si>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</si>
  <si>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</si>
  <si>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</si>
  <si>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</si>
  <si>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</si>
  <si>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</si>
  <si>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</si>
  <si>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</si>
  <si>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</si>
  <si>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</si>
  <si>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</si>
  <si>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</si>
  <si>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</si>
  <si>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</si>
  <si>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</si>
  <si>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</si>
  <si>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</si>
  <si>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</si>
  <si>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</si>
  <si>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</si>
  <si>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</si>
  <si>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</si>
  <si>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</si>
  <si>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</si>
  <si>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</si>
  <si>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</si>
  <si>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</si>
  <si>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</si>
  <si>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</si>
  <si>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</si>
  <si>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</si>
  <si>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</si>
  <si>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</si>
  <si>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</si>
  <si>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</si>
  <si>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</si>
  <si>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</si>
  <si>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</si>
  <si>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</si>
  <si>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</si>
  <si>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</si>
  <si>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</si>
  <si>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</si>
  <si>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</si>
  <si>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</si>
  <si>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</si>
  <si>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</si>
  <si>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</si>
  <si>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</si>
  <si>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</si>
  <si>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</si>
  <si>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</si>
  <si>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</si>
  <si>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</si>
  <si>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</si>
  <si>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</si>
  <si>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</si>
  <si>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</si>
  <si>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</si>
  <si>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</si>
  <si>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</si>
  <si>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</si>
  <si>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</si>
  <si>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</si>
  <si>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</si>
  <si>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</si>
  <si>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</si>
  <si>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</si>
  <si>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</si>
  <si>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</si>
  <si>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</si>
  <si>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</si>
  <si>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</si>
  <si>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</si>
  <si>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</si>
  <si>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</si>
  <si>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</si>
  <si>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</si>
  <si>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</si>
  <si>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</si>
  <si>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</si>
  <si>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</si>
  <si>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</si>
  <si>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</si>
  <si>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</si>
  <si>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</si>
  <si>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</si>
  <si>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</si>
  <si>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</si>
  <si>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</si>
  <si>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</si>
  <si>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</si>
  <si>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</si>
  <si>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</si>
  <si>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</si>
  <si>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</si>
  <si>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</si>
  <si>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</si>
  <si>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</si>
  <si>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</si>
  <si>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</si>
  <si>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</si>
  <si>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</si>
  <si>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</si>
  <si>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</si>
  <si>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</si>
  <si>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</si>
  <si>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</si>
  <si>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</si>
  <si>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</si>
  <si>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</si>
  <si>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</si>
  <si>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</si>
  <si>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</si>
  <si>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</si>
  <si>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</si>
  <si>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</si>
  <si>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</si>
  <si>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</si>
  <si>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</si>
  <si>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</si>
  <si>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</si>
  <si>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</si>
  <si>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</si>
  <si>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</si>
  <si>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</si>
  <si>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</si>
  <si>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</si>
  <si>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</si>
  <si>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</si>
  <si>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</si>
  <si>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</si>
  <si>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</si>
  <si>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</si>
  <si>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</si>
  <si>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</si>
  <si>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</si>
  <si>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</si>
  <si>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</si>
  <si>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</si>
  <si>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</si>
  <si>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</si>
  <si>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</si>
  <si>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</si>
  <si>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</si>
  <si>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</si>
  <si>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</si>
  <si>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</si>
  <si>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</si>
  <si>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</si>
  <si>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</si>
  <si>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</si>
  <si>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</si>
  <si>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</si>
  <si>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</si>
  <si>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</si>
  <si>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</si>
  <si>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</si>
  <si>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</si>
  <si>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</si>
  <si>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</si>
  <si>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</si>
  <si>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</si>
  <si>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</si>
  <si>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</si>
  <si>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</si>
  <si>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</si>
  <si>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</si>
  <si>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</si>
  <si>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</si>
  <si>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</si>
  <si>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</si>
  <si>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</si>
  <si>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</si>
  <si>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</si>
  <si>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</si>
  <si>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</si>
  <si>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</si>
  <si>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</si>
  <si>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</si>
  <si>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</si>
  <si>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</si>
  <si>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</si>
  <si>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</si>
  <si>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</si>
  <si>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</si>
  <si>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</si>
  <si>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</si>
  <si>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</si>
  <si>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</si>
  <si>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</si>
  <si>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</si>
  <si>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</si>
  <si>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</si>
  <si>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</si>
  <si>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</si>
  <si>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</si>
  <si>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</si>
  <si>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</si>
  <si>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</si>
  <si>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</si>
  <si>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</si>
  <si>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</si>
  <si>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</si>
  <si>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</si>
  <si>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</si>
  <si>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</si>
  <si>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</si>
  <si>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</si>
  <si>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</si>
  <si>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</si>
  <si>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</si>
  <si>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</si>
  <si>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</si>
  <si>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</si>
  <si>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</si>
  <si>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</si>
  <si>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</si>
  <si>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</si>
  <si>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</si>
  <si>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</si>
  <si>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</si>
  <si>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</si>
  <si>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</si>
  <si>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</si>
  <si>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</si>
  <si>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</si>
  <si>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</si>
  <si>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</si>
  <si>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</si>
  <si>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</si>
  <si>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</si>
  <si>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</si>
  <si>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</si>
  <si>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</si>
  <si>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</si>
  <si>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</si>
  <si>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</si>
  <si>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</si>
  <si>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</si>
  <si>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</si>
  <si>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</si>
  <si>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</si>
  <si>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</si>
  <si>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</si>
  <si>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</si>
  <si>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</si>
  <si>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</si>
  <si>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</si>
  <si>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</si>
  <si>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</si>
  <si>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</si>
  <si>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</si>
  <si>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</si>
  <si>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</si>
  <si>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</si>
  <si>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</si>
  <si>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</si>
  <si>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</si>
  <si>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</si>
  <si>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</si>
  <si>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</si>
  <si>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</si>
  <si>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</si>
  <si>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</si>
  <si>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</si>
  <si>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</si>
  <si>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</si>
  <si>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</si>
  <si>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</si>
  <si>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</si>
  <si>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</si>
  <si>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</si>
  <si>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</si>
  <si>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</si>
  <si>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</si>
  <si>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</si>
  <si>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</si>
  <si>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</si>
  <si>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</si>
  <si>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</si>
  <si>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</si>
  <si>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</si>
  <si>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</si>
  <si>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</si>
  <si>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</si>
  <si>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</si>
  <si>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</si>
  <si>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</si>
  <si>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</si>
  <si>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</si>
  <si>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</si>
  <si>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</si>
  <si>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</si>
  <si>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</si>
  <si>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</si>
  <si>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</si>
  <si>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</si>
  <si>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</si>
  <si>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</si>
  <si>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</si>
  <si>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</si>
  <si>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</si>
  <si>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</si>
  <si>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</si>
  <si>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</si>
  <si>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</si>
  <si>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</si>
  <si>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</si>
  <si>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</si>
  <si>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</si>
  <si>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</si>
  <si>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</si>
  <si>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</si>
  <si>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</si>
  <si>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</si>
  <si>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</si>
  <si>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</si>
  <si>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</si>
  <si>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</si>
  <si>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</si>
  <si>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</si>
  <si>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</si>
  <si>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</si>
  <si>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</si>
  <si>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</si>
  <si>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</si>
  <si>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</si>
  <si>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</si>
  <si>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</si>
  <si>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</si>
  <si>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</si>
  <si>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</si>
  <si>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</si>
  <si>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</si>
  <si>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</si>
  <si>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</si>
  <si>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</si>
  <si>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</si>
  <si>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</si>
  <si>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</si>
  <si>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</si>
  <si>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</si>
  <si>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</si>
  <si>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</si>
  <si>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</si>
  <si>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</si>
  <si>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</si>
  <si>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</si>
  <si>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</si>
  <si>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</si>
  <si>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</si>
  <si>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</si>
  <si>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</si>
  <si>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</si>
  <si>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</si>
  <si>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</si>
  <si>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</si>
  <si>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</si>
  <si>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</si>
  <si>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</si>
  <si>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</si>
  <si>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</si>
  <si>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</si>
  <si>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</si>
  <si>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</si>
  <si>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</si>
  <si>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</si>
  <si>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</si>
  <si>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</si>
  <si>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</si>
  <si>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</si>
  <si>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</si>
  <si>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</si>
  <si>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</si>
  <si>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</si>
  <si>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</si>
  <si>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</si>
  <si>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</si>
  <si>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</si>
  <si>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</si>
  <si>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</si>
  <si>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</si>
  <si>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</si>
  <si>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</si>
  <si>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</si>
  <si>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</si>
  <si>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</si>
  <si>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</si>
  <si>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</si>
  <si>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</si>
  <si>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</si>
  <si>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</si>
  <si>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</si>
  <si>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</si>
  <si>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</si>
  <si>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</si>
  <si>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</si>
  <si>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</si>
  <si>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</si>
  <si>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</si>
  <si>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</si>
  <si>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</si>
  <si>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</si>
  <si>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</si>
  <si>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</si>
  <si>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</si>
  <si>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</si>
  <si>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</si>
  <si>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</si>
  <si>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</si>
  <si>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</si>
  <si>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</si>
  <si>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</si>
  <si>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</si>
  <si>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</si>
  <si>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</si>
  <si>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</si>
  <si>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</si>
  <si>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</si>
  <si>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</si>
  <si>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</si>
  <si>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</si>
  <si>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</si>
  <si>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</si>
  <si>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</si>
  <si>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</si>
  <si>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</si>
  <si>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</si>
  <si>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</si>
  <si>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</si>
  <si>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</si>
  <si>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</si>
  <si>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</si>
  <si>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</si>
  <si>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</si>
  <si>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</si>
  <si>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</si>
  <si>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</si>
  <si>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</si>
  <si>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</si>
  <si>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</si>
  <si>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</si>
  <si>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</si>
  <si>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</si>
  <si>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</si>
  <si>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</si>
  <si>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</si>
  <si>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</si>
  <si>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</si>
  <si>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</si>
  <si>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</si>
  <si>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</si>
  <si>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</si>
  <si>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</si>
  <si>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</si>
  <si>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</si>
  <si>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</si>
  <si>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</si>
  <si>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</si>
  <si>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</si>
  <si>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</si>
  <si>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</si>
  <si>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</si>
  <si>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</si>
  <si>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</si>
  <si>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</si>
  <si>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</si>
  <si>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</si>
  <si>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</si>
  <si>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</si>
  <si>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</si>
  <si>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</si>
  <si>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</si>
  <si>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</si>
  <si>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</si>
  <si>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</si>
  <si>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</si>
  <si>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</si>
  <si>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</si>
  <si>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</si>
  <si>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</si>
  <si>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</si>
  <si>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</si>
  <si>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</si>
  <si>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</si>
  <si>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</si>
  <si>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</si>
  <si>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</si>
  <si>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</si>
  <si>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</si>
  <si>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</si>
  <si>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</si>
  <si>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</si>
  <si>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</si>
  <si>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</si>
  <si>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</si>
  <si>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</si>
  <si>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</si>
  <si>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</si>
  <si>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</si>
  <si>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</si>
  <si>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</si>
  <si>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</si>
  <si>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</si>
  <si>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</si>
  <si>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</si>
  <si>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</si>
  <si>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</si>
  <si>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</si>
  <si>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</si>
  <si>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</si>
  <si>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</si>
  <si>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</si>
  <si>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</si>
  <si>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</si>
  <si>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</si>
  <si>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</si>
  <si>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</si>
  <si>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</si>
  <si>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</si>
  <si>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</si>
  <si>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</si>
  <si>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</si>
  <si>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</si>
  <si>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</si>
  <si>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</si>
  <si>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</si>
  <si>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</si>
  <si>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</si>
  <si>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</si>
  <si>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</si>
  <si>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</si>
  <si>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</si>
  <si>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</si>
  <si>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</si>
  <si>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</si>
  <si>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</si>
  <si>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</si>
  <si>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</si>
  <si>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</si>
  <si>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</si>
  <si>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</si>
  <si>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</si>
  <si>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</si>
  <si>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</si>
  <si>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</si>
  <si>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</si>
  <si>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</si>
  <si>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</si>
  <si>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</si>
  <si>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</si>
  <si>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</si>
  <si>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</si>
  <si>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</si>
  <si>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</si>
  <si>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</si>
  <si>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</si>
  <si>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</si>
  <si>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</si>
  <si>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</si>
  <si>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</si>
  <si>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</si>
  <si>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</si>
  <si>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</si>
  <si>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</si>
  <si>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</si>
  <si>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</si>
  <si>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</si>
  <si>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</si>
  <si>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</si>
  <si>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</si>
  <si>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</si>
  <si>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</si>
  <si>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</si>
  <si>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</si>
  <si>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</si>
  <si>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</si>
  <si>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</si>
  <si>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</si>
  <si>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</si>
  <si>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</si>
  <si>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</si>
  <si>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</si>
  <si>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</si>
  <si>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</si>
  <si>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</si>
  <si>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</si>
  <si>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</si>
  <si>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</si>
  <si>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</si>
  <si>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</si>
  <si>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</si>
  <si>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</si>
  <si>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</si>
  <si>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</si>
  <si>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</si>
  <si>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</si>
  <si>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</si>
  <si>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</si>
  <si>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</si>
  <si>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</si>
  <si>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</si>
  <si>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</si>
  <si>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</si>
  <si>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</si>
  <si>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</si>
  <si>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</si>
  <si>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</si>
  <si>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</si>
  <si>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</si>
  <si>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</si>
  <si>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</si>
  <si>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</si>
  <si>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</si>
  <si>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</si>
  <si>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</si>
  <si>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</si>
  <si>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</si>
  <si>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</si>
  <si>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</si>
  <si>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</si>
  <si>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</si>
  <si>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</si>
  <si>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</si>
  <si>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</si>
  <si>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</si>
  <si>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</si>
  <si>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</si>
  <si>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</si>
  <si>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</si>
  <si>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</si>
  <si>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</si>
  <si>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</si>
  <si>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</si>
  <si>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</si>
  <si>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</si>
  <si>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</si>
  <si>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</si>
  <si>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</si>
  <si>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</si>
  <si>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</si>
  <si>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</si>
  <si>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</si>
  <si>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</si>
  <si>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</si>
  <si>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</si>
  <si>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</si>
  <si>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</si>
  <si>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</si>
  <si>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</si>
  <si>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</si>
  <si>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</si>
  <si>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</si>
  <si>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</si>
  <si>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</si>
  <si>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</si>
  <si>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</si>
  <si>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</si>
  <si>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</si>
  <si>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</si>
  <si>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</si>
  <si>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</si>
  <si>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</si>
  <si>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</si>
  <si>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</si>
  <si>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</si>
  <si>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</si>
  <si>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</si>
  <si>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</si>
  <si>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</si>
  <si>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</si>
  <si>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</si>
  <si>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</si>
  <si>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</si>
  <si>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</si>
  <si>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</si>
  <si>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</si>
  <si>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</si>
  <si>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</si>
  <si>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</si>
  <si>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</si>
  <si>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</si>
  <si>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</si>
  <si>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</si>
  <si>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</si>
  <si>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</si>
  <si>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</si>
  <si>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</si>
  <si>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</si>
  <si>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</si>
  <si>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</si>
  <si>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</si>
  <si>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</si>
  <si>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</si>
  <si>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</si>
  <si>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</si>
  <si>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</si>
  <si>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</si>
  <si>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</si>
  <si>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</si>
  <si>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</si>
  <si>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</si>
  <si>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</si>
  <si>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</si>
  <si>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</si>
  <si>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</si>
  <si>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</si>
  <si>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</si>
  <si>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</si>
  <si>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</si>
  <si>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</si>
  <si>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</si>
  <si>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</si>
  <si>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</si>
  <si>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</si>
  <si>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</si>
  <si>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</si>
  <si>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</si>
  <si>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</si>
  <si>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</si>
  <si>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</si>
  <si>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</si>
  <si>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</si>
  <si>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</si>
  <si>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</si>
  <si>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</si>
  <si>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</si>
  <si>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</si>
  <si>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</si>
  <si>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</si>
  <si>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</si>
  <si>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</si>
  <si>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</si>
  <si>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</si>
  <si>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</si>
  <si>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</si>
  <si>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</si>
  <si>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</si>
  <si>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</si>
  <si>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</si>
  <si>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</si>
  <si>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</si>
  <si>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</si>
  <si>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</si>
  <si>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</si>
  <si>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</si>
  <si>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</si>
  <si>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</si>
  <si>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</si>
  <si>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</si>
  <si>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</si>
  <si>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</si>
  <si>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</si>
  <si>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</si>
  <si>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</si>
  <si>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</si>
  <si>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</si>
  <si>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</si>
  <si>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</si>
  <si>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</si>
  <si>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</si>
  <si>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</si>
  <si>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</si>
  <si>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</si>
  <si>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</si>
  <si>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</si>
  <si>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</si>
  <si>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</si>
  <si>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</si>
  <si>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</si>
  <si>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</si>
  <si>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</si>
  <si>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</si>
  <si>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</si>
  <si>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</si>
  <si>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</si>
  <si>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</si>
  <si>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</si>
  <si>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</si>
  <si>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</si>
  <si>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</si>
  <si>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</si>
  <si>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</si>
  <si>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</si>
  <si>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</si>
  <si>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</si>
  <si>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</si>
  <si>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</si>
  <si>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</si>
  <si>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</si>
  <si>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</si>
  <si>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</si>
  <si>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</si>
  <si>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</si>
  <si>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</si>
  <si>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</si>
  <si>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</si>
  <si>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</si>
  <si>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</si>
  <si>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</si>
  <si>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</si>
  <si>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</si>
  <si>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</si>
  <si>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</si>
  <si>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</si>
  <si>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</si>
  <si>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</si>
  <si>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</si>
  <si>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</si>
  <si>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</si>
  <si>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</si>
  <si>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</si>
  <si>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</si>
  <si>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</si>
  <si>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</si>
  <si>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</si>
  <si>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</si>
  <si>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</si>
  <si>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</si>
  <si>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</si>
  <si>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</si>
  <si>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</si>
  <si>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</si>
  <si>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</si>
  <si>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</si>
  <si>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</si>
  <si>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</si>
  <si>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</si>
  <si>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</si>
  <si>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</si>
  <si>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</si>
  <si>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</si>
  <si>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</si>
  <si>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</si>
  <si>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</si>
  <si>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</si>
  <si>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</si>
  <si>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</si>
  <si>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</si>
  <si>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</si>
  <si>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</si>
  <si>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</si>
  <si>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</si>
  <si>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</si>
  <si>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</si>
  <si>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</si>
  <si>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</si>
  <si>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</si>
  <si>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</si>
  <si>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</si>
  <si>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</si>
  <si>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</si>
  <si>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</si>
  <si>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</si>
  <si>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</si>
  <si>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</si>
  <si>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</si>
  <si>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</si>
  <si>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</si>
  <si>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</si>
  <si>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</si>
  <si>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</si>
  <si>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</si>
  <si>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</si>
  <si>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</si>
  <si>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</si>
  <si>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</si>
  <si>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</si>
  <si>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</si>
  <si>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</si>
  <si>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</si>
  <si>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</si>
  <si>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</si>
  <si>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</si>
  <si>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</si>
  <si>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</si>
  <si>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</si>
  <si>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</si>
  <si>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</si>
  <si>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</si>
  <si>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</si>
  <si>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</si>
  <si>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</si>
  <si>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</si>
  <si>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</si>
  <si>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</si>
  <si>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</si>
  <si>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</si>
  <si>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</si>
  <si>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</si>
  <si>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</si>
  <si>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</si>
  <si>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</si>
  <si>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</si>
  <si>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</si>
  <si>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</si>
  <si>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</si>
  <si>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</si>
  <si>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</si>
  <si>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</si>
  <si>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</si>
  <si>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</si>
  <si>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</si>
  <si>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</si>
  <si>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</si>
  <si>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</si>
  <si>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</si>
  <si>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</si>
  <si>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</si>
  <si>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</si>
  <si>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</si>
  <si>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</si>
  <si>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</si>
  <si>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</si>
  <si>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</si>
  <si>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</si>
  <si>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</si>
  <si>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</si>
  <si>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</si>
  <si>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</si>
  <si>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</si>
  <si>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</si>
  <si>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</si>
  <si>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</si>
  <si>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</si>
  <si>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</si>
  <si>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</si>
  <si>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</si>
  <si>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</si>
  <si>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</si>
  <si>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</si>
  <si>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</si>
  <si>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</si>
  <si>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</si>
  <si>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</si>
  <si>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</si>
  <si>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</si>
  <si>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</si>
  <si>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</si>
  <si>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</si>
  <si>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</si>
  <si>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</si>
  <si>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</si>
  <si>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</si>
  <si>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</si>
  <si>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</si>
  <si>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</si>
  <si>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</si>
  <si>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</si>
  <si>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</si>
  <si>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</si>
  <si>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</si>
  <si>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</si>
  <si>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</si>
  <si>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</si>
  <si>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</si>
  <si>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</si>
  <si>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</si>
  <si>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</si>
  <si>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</si>
  <si>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</si>
  <si>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</si>
  <si>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</si>
  <si>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</si>
  <si>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</si>
  <si>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</si>
  <si>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</si>
  <si>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</si>
  <si>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</si>
  <si>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</si>
  <si>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</si>
  <si>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</si>
  <si>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</si>
  <si>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</si>
  <si>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</si>
  <si>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</si>
  <si>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</si>
  <si>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</si>
  <si>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</si>
  <si>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</si>
  <si>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</si>
  <si>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</si>
  <si>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</si>
  <si>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</si>
  <si>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</si>
  <si>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</si>
  <si>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</si>
  <si>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</si>
  <si>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</si>
  <si>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</si>
  <si>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</si>
  <si>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</si>
  <si>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</si>
  <si>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</si>
  <si>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</si>
  <si>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</si>
  <si>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</si>
  <si>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</si>
  <si>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</si>
  <si>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</si>
  <si>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</si>
  <si>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</si>
  <si>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</si>
  <si>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</si>
  <si>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</si>
  <si>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</si>
  <si>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</si>
  <si>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</si>
  <si>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</si>
  <si>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</si>
  <si>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</si>
  <si>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</si>
  <si>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</si>
  <si>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</si>
  <si>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</si>
  <si>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</si>
  <si>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</si>
  <si>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</si>
  <si>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</si>
  <si>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</si>
  <si>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</si>
  <si>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</si>
  <si>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</si>
  <si>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</si>
  <si>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</si>
  <si>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</si>
  <si>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</si>
  <si>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</si>
  <si>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</si>
  <si>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</si>
  <si>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</si>
  <si>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</si>
  <si>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</si>
  <si>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</si>
  <si>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</si>
  <si>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</si>
  <si>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</si>
  <si>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</si>
  <si>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</si>
  <si>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</si>
  <si>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</si>
  <si>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</si>
  <si>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</si>
  <si>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</si>
  <si>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</si>
  <si>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</si>
  <si>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</si>
  <si>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</si>
  <si>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</si>
  <si>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</si>
  <si>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</si>
  <si>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</si>
  <si>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</si>
  <si>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</si>
  <si>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</si>
  <si>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</si>
  <si>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</si>
  <si>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</si>
  <si>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</si>
  <si>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</si>
  <si>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</si>
  <si>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</si>
  <si>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</si>
  <si>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</si>
  <si>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</si>
  <si>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</si>
  <si>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</si>
  <si>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</si>
  <si>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</si>
  <si>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</si>
  <si>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</si>
  <si>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</si>
  <si>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</si>
  <si>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</si>
  <si>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</si>
  <si>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</si>
  <si>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</si>
  <si>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</si>
  <si>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</si>
  <si>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</si>
  <si>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</si>
  <si>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</si>
  <si>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</si>
  <si>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</si>
  <si>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</si>
  <si>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</si>
  <si>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</si>
  <si>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</si>
  <si>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</si>
  <si>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</si>
  <si>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</si>
  <si>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</si>
  <si>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</si>
  <si>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</si>
  <si>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</si>
  <si>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</si>
  <si>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</si>
  <si>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</si>
  <si>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</si>
  <si>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</si>
  <si>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</si>
  <si>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</si>
  <si>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</si>
  <si>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</si>
  <si>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</si>
  <si>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</si>
  <si>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</si>
  <si>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</si>
  <si>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</si>
  <si>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</si>
  <si>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</si>
  <si>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</si>
  <si>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</si>
  <si>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</si>
  <si>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</si>
  <si>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</si>
  <si>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</si>
  <si>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</si>
  <si>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</si>
  <si>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</si>
  <si>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</si>
  <si>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</si>
  <si>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</si>
  <si>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</si>
  <si>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</si>
  <si>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</si>
  <si>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</si>
  <si>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</si>
  <si>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</si>
  <si>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</si>
  <si>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</si>
  <si>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</si>
  <si>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</si>
  <si>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</si>
  <si>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</si>
  <si>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</si>
  <si>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</si>
  <si>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</si>
  <si>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</si>
  <si>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</si>
  <si>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</si>
  <si>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</si>
  <si>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</si>
  <si>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</si>
  <si>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</si>
  <si>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</si>
  <si>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</si>
  <si>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</si>
  <si>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</si>
  <si>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</si>
  <si>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</si>
  <si>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</si>
  <si>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</si>
  <si>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</si>
  <si>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</si>
  <si>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</si>
  <si>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</si>
  <si>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</si>
  <si>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</si>
  <si>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</si>
  <si>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</si>
  <si>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</si>
  <si>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</si>
  <si>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</si>
  <si>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</si>
  <si>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</si>
  <si>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</si>
  <si>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</si>
  <si>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</si>
  <si>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</si>
  <si>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</si>
  <si>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</si>
  <si>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</si>
  <si>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</si>
  <si>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</si>
  <si>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</si>
  <si>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</si>
  <si>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</si>
  <si>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</si>
  <si>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</si>
  <si>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</si>
  <si>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</si>
  <si>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</si>
  <si>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</si>
  <si>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</si>
  <si>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</si>
  <si>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</si>
  <si>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</si>
  <si>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</si>
  <si>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</si>
  <si>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</si>
  <si>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</si>
  <si>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</si>
  <si>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</si>
  <si>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</si>
  <si>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</si>
  <si>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</si>
  <si>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</si>
  <si>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</si>
  <si>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</si>
  <si>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</si>
  <si>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</si>
  <si>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</si>
  <si>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</si>
  <si>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</si>
  <si>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</si>
  <si>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</si>
  <si>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</si>
  <si>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</si>
  <si>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</si>
  <si>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</si>
  <si>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</si>
  <si>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</si>
  <si>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</si>
  <si>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</si>
  <si>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</si>
  <si>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</si>
  <si>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</si>
  <si>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</si>
  <si>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</si>
  <si>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</si>
  <si>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</si>
  <si>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</si>
  <si>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</si>
  <si>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</si>
  <si>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</si>
  <si>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</si>
  <si>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</si>
  <si>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</si>
  <si>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</si>
  <si>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</si>
  <si>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</si>
  <si>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</si>
  <si>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</si>
  <si>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</si>
  <si>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</si>
  <si>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</si>
  <si>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</si>
  <si>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</si>
  <si>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</si>
  <si>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</si>
  <si>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</si>
  <si>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</si>
  <si>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</si>
  <si>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</si>
  <si>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</si>
  <si>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</si>
  <si>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</si>
  <si>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</si>
  <si>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</si>
  <si>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</si>
  <si>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</si>
  <si>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</si>
  <si>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</si>
  <si>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</si>
  <si>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</si>
  <si>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</si>
  <si>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</si>
  <si>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</si>
  <si>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</si>
  <si>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</si>
  <si>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</si>
  <si>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</si>
  <si>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</si>
  <si>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</si>
  <si>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</si>
  <si>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</si>
  <si>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</si>
  <si>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</si>
  <si>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</si>
  <si>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</si>
  <si>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</si>
  <si>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</si>
  <si>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</si>
  <si>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</si>
  <si>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</si>
  <si>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</si>
  <si>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</si>
  <si>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</si>
  <si>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</si>
  <si>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</si>
  <si>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</si>
  <si>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</si>
  <si>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</si>
  <si>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</si>
  <si>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</si>
  <si>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</si>
  <si>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</si>
  <si>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</si>
  <si>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</si>
  <si>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</si>
  <si>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</si>
  <si>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</si>
  <si>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</si>
  <si>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</si>
  <si>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</si>
  <si>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</si>
  <si>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</si>
  <si>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</si>
  <si>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</si>
  <si>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</si>
  <si>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</si>
  <si>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</si>
  <si>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</si>
  <si>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</si>
  <si>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</si>
  <si>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</si>
  <si>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</si>
  <si>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</si>
  <si>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</si>
  <si>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</si>
  <si>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</si>
  <si>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</si>
  <si>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</si>
  <si>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</si>
  <si>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</si>
  <si>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</si>
  <si>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</si>
  <si>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</si>
  <si>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</si>
  <si>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</si>
  <si>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</si>
  <si>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</si>
  <si>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</si>
  <si>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</si>
  <si>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</si>
  <si>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</si>
  <si>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</si>
  <si>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</si>
  <si>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</si>
  <si>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</si>
  <si>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</si>
  <si>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</si>
  <si>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</si>
  <si>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</si>
  <si>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</si>
  <si>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</si>
  <si>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</si>
  <si>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</si>
  <si>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</si>
  <si>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</si>
  <si>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</si>
  <si>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</si>
  <si>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</si>
  <si>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</si>
  <si>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</si>
  <si>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</si>
  <si>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</si>
  <si>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</si>
  <si>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</si>
  <si>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</si>
  <si>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</si>
  <si>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</si>
  <si>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</si>
  <si>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</si>
  <si>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</si>
  <si>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</si>
  <si>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</si>
  <si>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</si>
  <si>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</si>
  <si>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</si>
  <si>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</si>
  <si>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</si>
  <si>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</si>
  <si>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</si>
  <si>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</si>
  <si>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</si>
  <si>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</si>
  <si>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</si>
  <si>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</si>
  <si>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</si>
  <si>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</si>
  <si>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</si>
  <si>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</si>
  <si>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</si>
  <si>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</si>
  <si>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</si>
  <si>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</si>
  <si>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</si>
  <si>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</si>
  <si>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</si>
  <si>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</si>
  <si>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</si>
  <si>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</si>
  <si>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</si>
  <si>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</si>
  <si>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</si>
  <si>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</si>
  <si>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</si>
  <si>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</si>
  <si>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</si>
  <si>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</si>
  <si>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</si>
  <si>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</si>
  <si>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</si>
  <si>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</si>
  <si>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</si>
  <si>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</si>
  <si>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</si>
  <si>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</si>
  <si>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</si>
  <si>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</si>
  <si>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</si>
  <si>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</si>
  <si>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</si>
  <si>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</si>
  <si>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</si>
  <si>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</si>
  <si>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</si>
  <si>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</si>
  <si>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</si>
  <si>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</si>
  <si>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</si>
  <si>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</si>
  <si>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</si>
  <si>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</si>
  <si>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</si>
  <si>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</si>
  <si>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</si>
  <si>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</si>
  <si>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</si>
  <si>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</si>
  <si>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</si>
  <si>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</si>
  <si>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</si>
  <si>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</si>
  <si>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</si>
  <si>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</si>
  <si>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</si>
  <si>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</si>
  <si>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</si>
  <si>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</si>
  <si>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</si>
  <si>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</si>
  <si>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</si>
  <si>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</si>
  <si>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</si>
  <si>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</si>
  <si>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</si>
  <si>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</si>
  <si>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</si>
  <si>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</si>
  <si>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</si>
  <si>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</si>
  <si>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</si>
  <si>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</si>
  <si>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</si>
  <si>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</si>
  <si>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</si>
  <si>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</si>
  <si>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</si>
  <si>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</si>
  <si>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</si>
  <si>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</si>
  <si>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</si>
  <si>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</si>
  <si>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</si>
  <si>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</si>
  <si>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</si>
  <si>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</si>
  <si>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</si>
  <si>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</si>
  <si>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</si>
  <si>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</si>
  <si>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</si>
  <si>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</si>
  <si>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</si>
  <si>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</si>
  <si>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</si>
  <si>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</si>
  <si>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</si>
  <si>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</si>
  <si>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</si>
  <si>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</si>
  <si>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</si>
  <si>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</si>
  <si>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</si>
  <si>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</si>
  <si>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</si>
  <si>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</si>
  <si>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</si>
  <si>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</si>
  <si>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</si>
  <si>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</si>
  <si>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</si>
  <si>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</si>
  <si>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</si>
  <si>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</si>
  <si>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</si>
  <si>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</si>
  <si>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</si>
  <si>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</si>
  <si>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</si>
  <si>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</si>
  <si>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</si>
  <si>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</si>
  <si>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</si>
  <si>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</si>
  <si>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</si>
  <si>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</si>
  <si>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</si>
  <si>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</si>
  <si>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</si>
  <si>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</si>
  <si>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</si>
  <si>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</si>
  <si>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</si>
  <si>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</si>
  <si>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</si>
  <si>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</si>
  <si>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</si>
  <si>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</si>
  <si>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</si>
  <si>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</si>
  <si>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</si>
  <si>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</si>
  <si>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</si>
  <si>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</si>
  <si>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</si>
  <si>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</si>
  <si>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</si>
  <si>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</si>
  <si>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</si>
  <si>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</si>
  <si>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</si>
  <si>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</si>
  <si>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</si>
  <si>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</si>
  <si>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</si>
  <si>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</si>
  <si>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</si>
  <si>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</si>
  <si>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</si>
  <si>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</si>
  <si>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</si>
  <si>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</si>
  <si>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</si>
  <si>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</si>
  <si>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</si>
  <si>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</si>
  <si>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</si>
  <si>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</si>
  <si>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</si>
  <si>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</si>
  <si>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</si>
  <si>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</si>
  <si>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</si>
  <si>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</si>
  <si>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</si>
  <si>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</si>
  <si>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</si>
  <si>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</si>
  <si>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</si>
  <si>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</si>
  <si>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</si>
  <si>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</si>
  <si>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</si>
  <si>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</si>
  <si>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</si>
  <si>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</si>
  <si>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</si>
  <si>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</si>
  <si>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</si>
  <si>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</si>
  <si>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</si>
  <si>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</si>
  <si>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</si>
  <si>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</si>
  <si>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</si>
  <si>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</si>
  <si>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</si>
  <si>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</si>
  <si>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</si>
  <si>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</si>
  <si>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</si>
  <si>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</si>
  <si>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</si>
  <si>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</si>
  <si>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</si>
  <si>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</si>
  <si>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</si>
  <si>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</si>
  <si>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</si>
  <si>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</si>
  <si>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</si>
  <si>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</si>
  <si>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</si>
  <si>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</si>
  <si>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</si>
  <si>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</si>
  <si>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</si>
  <si>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</si>
  <si>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</si>
  <si>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</si>
  <si>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</si>
  <si>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</si>
  <si>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</si>
  <si>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</si>
  <si>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</si>
  <si>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</si>
  <si>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</si>
  <si>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</si>
  <si>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</si>
  <si>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</si>
  <si>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</si>
  <si>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</si>
  <si>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</si>
  <si>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</si>
  <si>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</si>
  <si>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</si>
  <si>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</si>
  <si>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</si>
  <si>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</si>
  <si>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</si>
  <si>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</si>
  <si>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</si>
  <si>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</si>
  <si>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</si>
  <si>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</si>
  <si>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</si>
  <si>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</si>
  <si>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</si>
  <si>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</si>
  <si>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</si>
  <si>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</si>
  <si>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</si>
  <si>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</si>
  <si>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</si>
  <si>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</si>
  <si>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</si>
  <si>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</si>
  <si>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</si>
  <si>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</si>
  <si>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</si>
  <si>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</si>
  <si>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</si>
  <si>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</si>
  <si>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</si>
  <si>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</si>
  <si>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</si>
  <si>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</si>
  <si>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</si>
  <si>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</si>
  <si>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</si>
  <si>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</si>
  <si>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</si>
  <si>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</si>
  <si>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</si>
  <si>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</si>
  <si>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</si>
  <si>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</si>
  <si>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</si>
  <si>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</si>
  <si>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</si>
  <si>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</si>
  <si>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</si>
  <si>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</si>
  <si>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</si>
  <si>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</si>
  <si>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</si>
  <si>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</si>
  <si>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</si>
  <si>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</si>
  <si>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</si>
  <si>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</si>
  <si>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</si>
  <si>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</si>
  <si>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</si>
  <si>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</si>
  <si>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</si>
  <si>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</si>
  <si>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</si>
  <si>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</si>
  <si>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</si>
  <si>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</si>
  <si>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</si>
  <si>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</si>
  <si>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</si>
  <si>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</si>
  <si>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</si>
  <si>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</si>
  <si>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</si>
  <si>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</si>
  <si>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</si>
  <si>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</si>
  <si>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</si>
  <si>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</si>
  <si>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</si>
  <si>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</si>
  <si>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</si>
  <si>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</si>
  <si>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</si>
  <si>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</si>
  <si>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</si>
  <si>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</si>
  <si>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</si>
  <si>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</si>
  <si>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</si>
  <si>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</si>
  <si>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</si>
  <si>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</si>
  <si>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</si>
  <si>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</si>
  <si>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</si>
  <si>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</si>
  <si>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</si>
  <si>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</si>
  <si>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</si>
  <si>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</si>
  <si>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</si>
  <si>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</si>
  <si>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</si>
  <si>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</si>
  <si>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</si>
  <si>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</si>
  <si>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</si>
  <si>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</si>
  <si>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</si>
  <si>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</si>
  <si>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</si>
  <si>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</si>
  <si>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</si>
  <si>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</si>
  <si>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</si>
  <si>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</si>
  <si>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</si>
  <si>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</si>
  <si>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</si>
  <si>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</si>
  <si>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</si>
  <si>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</si>
  <si>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</si>
  <si>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</si>
  <si>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</si>
  <si>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</si>
  <si>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</si>
  <si>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</si>
  <si>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</si>
  <si>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</si>
  <si>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</si>
  <si>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</si>
  <si>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</si>
  <si>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</si>
  <si>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</si>
  <si>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</si>
  <si>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</si>
  <si>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</si>
  <si>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</si>
  <si>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</si>
  <si>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</si>
  <si>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</si>
  <si>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</si>
  <si>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</si>
  <si>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</si>
  <si>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</si>
  <si>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</si>
  <si>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</si>
  <si>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</si>
  <si>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</si>
  <si>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</si>
  <si>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</si>
  <si>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</si>
  <si>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</si>
  <si>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</si>
  <si>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</si>
  <si>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</si>
  <si>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</si>
  <si>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</si>
  <si>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</si>
  <si>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</si>
  <si>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</si>
  <si>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</si>
  <si>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</si>
  <si>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</si>
  <si>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</si>
  <si>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</si>
  <si>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</si>
  <si>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</si>
  <si>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</si>
  <si>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</si>
  <si>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</si>
  <si>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</si>
  <si>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</si>
  <si>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</si>
  <si>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</si>
  <si>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</si>
  <si>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</si>
  <si>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</si>
  <si>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</si>
  <si>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</si>
  <si>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</si>
  <si>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</si>
  <si>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</si>
  <si>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</si>
  <si>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</si>
  <si>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</si>
  <si>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</si>
  <si>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</si>
  <si>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</si>
  <si>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</si>
  <si>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</si>
  <si>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</si>
  <si>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</si>
  <si>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</si>
  <si>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</si>
  <si>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</si>
  <si>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</si>
  <si>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</si>
  <si>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</si>
  <si>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</si>
  <si>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</si>
  <si>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</si>
  <si>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</si>
  <si>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</si>
  <si>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</si>
  <si>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</si>
  <si>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</si>
  <si>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</si>
  <si>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</si>
  <si>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</si>
  <si>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</si>
  <si>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</si>
  <si>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</si>
  <si>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</si>
  <si>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</si>
  <si>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</si>
  <si>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</si>
  <si>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</si>
  <si>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</si>
  <si>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</si>
  <si>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</si>
  <si>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</si>
  <si>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</si>
  <si>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</si>
  <si>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</si>
  <si>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</si>
  <si>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</si>
  <si>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</si>
  <si>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</si>
  <si>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</si>
  <si>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</si>
  <si>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</si>
  <si>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</si>
  <si>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</si>
  <si>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</si>
  <si>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</si>
  <si>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</si>
  <si>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</si>
  <si>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</si>
  <si>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</si>
  <si>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</si>
  <si>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</si>
  <si>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</si>
  <si>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</si>
  <si>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</si>
  <si>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</si>
  <si>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</si>
  <si>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</si>
  <si>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</si>
  <si>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</si>
  <si>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</si>
  <si>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</si>
  <si>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</si>
  <si>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</si>
  <si>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</si>
  <si>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</si>
  <si>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</si>
  <si>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</si>
  <si>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</si>
  <si>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</si>
  <si>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</si>
  <si>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</si>
  <si>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</si>
  <si>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</si>
  <si>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</si>
  <si>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</si>
  <si>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</si>
  <si>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</si>
  <si>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</si>
  <si>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</si>
  <si>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</si>
  <si>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</si>
  <si>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</si>
  <si>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</si>
  <si>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</si>
  <si>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</si>
  <si>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</si>
  <si>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</si>
  <si>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</si>
  <si>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</si>
  <si>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</si>
  <si>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</si>
  <si>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</si>
  <si>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</si>
  <si>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</si>
  <si>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</si>
  <si>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</si>
  <si>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</si>
  <si>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</si>
  <si>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</si>
  <si>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</si>
  <si>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</si>
  <si>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</si>
  <si>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</si>
  <si>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</si>
  <si>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</si>
  <si>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</si>
  <si>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</si>
  <si>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</si>
  <si>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</si>
  <si>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</si>
  <si>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</si>
  <si>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</si>
  <si>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</si>
  <si>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</si>
  <si>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</si>
  <si>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</si>
  <si>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</si>
  <si>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</si>
  <si>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</si>
  <si>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</si>
  <si>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</si>
  <si>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</si>
  <si>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</si>
  <si>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</si>
  <si>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</si>
  <si>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</si>
  <si>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</si>
  <si>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</si>
  <si>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</si>
  <si>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</si>
  <si>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</si>
  <si>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</si>
  <si>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</si>
  <si>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</si>
  <si>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</si>
  <si>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</si>
  <si>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</si>
  <si>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</si>
  <si>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</si>
  <si>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</si>
  <si>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</si>
  <si>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</si>
  <si>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</si>
  <si>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</si>
  <si>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</si>
  <si>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</si>
  <si>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</si>
  <si>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</si>
  <si>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</si>
  <si>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</si>
  <si>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</si>
  <si>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</si>
  <si>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</si>
  <si>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</si>
  <si>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</si>
  <si>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</si>
  <si>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</si>
  <si>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</si>
  <si>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</si>
  <si>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</si>
  <si>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</si>
  <si>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</si>
  <si>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</si>
  <si>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</si>
  <si>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</si>
  <si>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</si>
  <si>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</si>
  <si>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</si>
  <si>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</si>
  <si>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</si>
  <si>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</si>
  <si>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</si>
  <si>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</si>
  <si>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</si>
  <si>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</si>
  <si>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</si>
  <si>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</si>
  <si>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</si>
  <si>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</si>
  <si>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</si>
  <si>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</si>
  <si>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</si>
  <si>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</si>
  <si>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</si>
  <si>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</si>
  <si>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</si>
  <si>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</si>
  <si>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</si>
  <si>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</si>
  <si>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</si>
  <si>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</si>
  <si>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</si>
  <si>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</si>
  <si>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</si>
  <si>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</si>
  <si>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</si>
  <si>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</si>
  <si>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</si>
  <si>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</si>
  <si>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</si>
  <si>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</si>
  <si>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</si>
  <si>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</si>
  <si>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</si>
  <si>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</si>
  <si>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</si>
  <si>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</si>
  <si>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</si>
  <si>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</si>
  <si>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</si>
  <si>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</si>
  <si>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</si>
  <si>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</si>
  <si>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</si>
  <si>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</si>
  <si>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</si>
  <si>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</si>
  <si>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</si>
  <si>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</si>
  <si>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</si>
  <si>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</si>
  <si>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</si>
  <si>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</si>
  <si>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</si>
  <si>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</si>
  <si>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</si>
  <si>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</si>
  <si>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</si>
  <si>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</si>
  <si>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</si>
  <si>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</si>
  <si>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</si>
  <si>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</si>
  <si>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</si>
  <si>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</si>
  <si>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</si>
  <si>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</si>
  <si>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</si>
  <si>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</si>
  <si>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</si>
  <si>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</si>
  <si>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</si>
  <si>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</si>
  <si>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</si>
  <si>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</si>
  <si>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</si>
  <si>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</si>
  <si>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</si>
  <si>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</si>
  <si>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</si>
  <si>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</si>
  <si>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</si>
  <si>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</si>
  <si>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</si>
  <si>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</si>
  <si>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</si>
  <si>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</si>
  <si>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</si>
  <si>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</si>
  <si>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</si>
  <si>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</si>
  <si>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</si>
  <si>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</si>
  <si>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</si>
  <si>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</si>
  <si>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</si>
  <si>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</si>
  <si>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</si>
  <si>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</si>
  <si>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</si>
  <si>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</si>
  <si>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</si>
  <si>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</si>
  <si>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</si>
  <si>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</si>
  <si>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</si>
  <si>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</si>
  <si>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</si>
  <si>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</si>
  <si>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</si>
  <si>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</si>
  <si>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</si>
  <si>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</si>
  <si>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</si>
  <si>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</si>
  <si>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</si>
  <si>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</si>
  <si>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</si>
  <si>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</si>
  <si>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</si>
  <si>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</si>
  <si>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</si>
  <si>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</si>
  <si>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</si>
  <si>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</si>
  <si>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</si>
  <si>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</si>
  <si>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</si>
  <si>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</si>
  <si>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</si>
  <si>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</si>
  <si>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</si>
  <si>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</si>
  <si>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</si>
  <si>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</si>
  <si>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</si>
  <si>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</si>
  <si>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</si>
  <si>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</si>
  <si>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</si>
  <si>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</si>
  <si>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</si>
  <si>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</si>
  <si>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</si>
  <si>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</si>
  <si>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</si>
  <si>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</si>
  <si>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</si>
  <si>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</si>
  <si>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</si>
  <si>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</si>
  <si>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</si>
  <si>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</si>
  <si>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</si>
  <si>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</si>
  <si>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</si>
  <si>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</si>
  <si>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</si>
  <si>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</si>
  <si>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</si>
  <si>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</si>
  <si>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</si>
  <si>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</si>
  <si>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</si>
  <si>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</si>
  <si>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</si>
  <si>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</si>
  <si>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</si>
  <si>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</si>
  <si>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</si>
  <si>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</si>
  <si>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</si>
  <si>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</si>
  <si>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</si>
  <si>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</si>
  <si>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</si>
  <si>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</si>
  <si>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</si>
  <si>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</si>
  <si>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</si>
  <si>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</si>
  <si>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</si>
  <si>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</si>
  <si>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</si>
  <si>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</si>
  <si>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</si>
  <si>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</si>
  <si>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</si>
  <si>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</si>
  <si>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</si>
  <si>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</si>
  <si>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</si>
  <si>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</si>
  <si>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</si>
  <si>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</si>
  <si>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</si>
  <si>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</si>
  <si>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</si>
  <si>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</si>
  <si>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</si>
  <si>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</si>
  <si>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</si>
  <si>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</si>
  <si>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</si>
  <si>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</si>
  <si>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</si>
  <si>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</si>
  <si>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</si>
  <si>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</si>
  <si>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</si>
  <si>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</si>
  <si>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</si>
  <si>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</si>
  <si>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</si>
  <si>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</si>
  <si>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</si>
  <si>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</si>
  <si>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</si>
  <si>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</si>
  <si>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</si>
  <si>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</si>
  <si>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</si>
  <si>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</si>
  <si>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</si>
  <si>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</si>
  <si>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</si>
  <si>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</si>
  <si>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</si>
  <si>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</si>
  <si>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</si>
  <si>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</si>
  <si>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</si>
  <si>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</si>
  <si>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</si>
  <si>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</si>
  <si>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</si>
  <si>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</si>
  <si>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</si>
  <si>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</si>
  <si>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</si>
  <si>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</si>
  <si>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</si>
  <si>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</si>
  <si>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</si>
  <si>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</si>
  <si>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</si>
  <si>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</si>
  <si>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</si>
  <si>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</si>
  <si>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</si>
  <si>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</si>
  <si>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</si>
  <si>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</si>
  <si>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</si>
  <si>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</si>
  <si>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</si>
  <si>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</si>
  <si>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</si>
  <si>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</si>
  <si>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</si>
  <si>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</si>
  <si>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</si>
  <si>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</si>
  <si>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</si>
  <si>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</si>
  <si>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</si>
  <si>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</si>
  <si>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</si>
  <si>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</si>
  <si>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</si>
  <si>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</si>
  <si>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</si>
  <si>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</si>
  <si>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</si>
  <si>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</si>
  <si>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</si>
  <si>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</si>
  <si>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</si>
  <si>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</si>
  <si>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</si>
  <si>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</si>
  <si>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</si>
  <si>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</si>
  <si>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</si>
  <si>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</si>
  <si>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</si>
  <si>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</si>
  <si>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</si>
  <si>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</si>
  <si>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</si>
  <si>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</si>
  <si>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</si>
  <si>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</si>
  <si>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</si>
  <si>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</si>
  <si>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</si>
  <si>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</si>
  <si>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</si>
  <si>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</si>
  <si>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</si>
  <si>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</si>
  <si>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</si>
  <si>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</si>
  <si>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</si>
  <si>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</si>
  <si>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</si>
  <si>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</si>
  <si>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</si>
  <si>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</si>
  <si>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</si>
  <si>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</si>
  <si>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</si>
  <si>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</si>
  <si>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</si>
  <si>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</si>
  <si>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</si>
  <si>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</si>
  <si>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</si>
  <si>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</si>
  <si>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</si>
  <si>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</si>
  <si>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</si>
  <si>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</si>
  <si>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</si>
  <si>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</si>
  <si>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</si>
  <si>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</si>
  <si>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</si>
  <si>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</si>
  <si>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</si>
  <si>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</si>
  <si>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</si>
  <si>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</si>
  <si>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</si>
  <si>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</si>
  <si>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</si>
  <si>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</si>
  <si>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</si>
  <si>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</si>
  <si>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</si>
  <si>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</si>
  <si>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</si>
  <si>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</si>
  <si>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</si>
  <si>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</si>
  <si>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</si>
  <si>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</si>
  <si>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</si>
  <si>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</si>
  <si>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</si>
  <si>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</si>
  <si>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</si>
  <si>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</si>
  <si>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</si>
  <si>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</si>
  <si>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</si>
  <si>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</si>
  <si>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</si>
  <si>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</si>
  <si>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</si>
  <si>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</si>
  <si>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</si>
  <si>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</si>
  <si>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</si>
  <si>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</si>
  <si>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</si>
  <si>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</si>
  <si>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</si>
  <si>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</si>
  <si>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</si>
  <si>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</si>
  <si>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</si>
  <si>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</si>
  <si>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</si>
  <si>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</si>
  <si>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</si>
  <si>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</si>
  <si>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</si>
  <si>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</si>
  <si>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</si>
  <si>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</si>
  <si>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</si>
  <si>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</si>
  <si>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</si>
  <si>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</si>
  <si>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</si>
  <si>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</si>
  <si>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</si>
  <si>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</si>
  <si>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</si>
  <si>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</si>
  <si>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</si>
  <si>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</si>
  <si>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</si>
  <si>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</si>
  <si>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</si>
  <si>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</si>
  <si>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</si>
  <si>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</si>
  <si>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</si>
  <si>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</si>
  <si>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</si>
  <si>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</si>
  <si>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</si>
  <si>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</si>
  <si>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</si>
  <si>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</si>
  <si>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</si>
  <si>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</si>
  <si>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</si>
  <si>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</si>
  <si>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</si>
  <si>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</si>
  <si>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</si>
  <si>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</si>
  <si>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</si>
  <si>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</si>
  <si>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</si>
  <si>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</si>
  <si>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</si>
  <si>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</si>
  <si>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</si>
  <si>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</si>
  <si>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</si>
  <si>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</si>
  <si>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</si>
  <si>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</si>
  <si>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</si>
  <si>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</si>
  <si>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</si>
  <si>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</si>
  <si>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</si>
  <si>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</si>
  <si>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</si>
  <si>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</si>
  <si>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</si>
  <si>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</si>
  <si>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</si>
  <si>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</si>
  <si>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</si>
  <si>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</si>
  <si>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</si>
  <si>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</si>
  <si>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</si>
  <si>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</si>
  <si>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</si>
  <si>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</si>
  <si>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</si>
  <si>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</si>
  <si>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</si>
  <si>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</si>
  <si>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</si>
  <si>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</si>
  <si>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</si>
  <si>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</si>
  <si>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</si>
  <si>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</si>
  <si>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</si>
  <si>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</si>
  <si>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</si>
  <si>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</si>
  <si>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</si>
  <si>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</si>
  <si>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</si>
  <si>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</si>
  <si>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</si>
  <si>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</si>
  <si>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</si>
  <si>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</si>
  <si>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</si>
  <si>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</si>
  <si>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</si>
  <si>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</si>
  <si>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</si>
  <si>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</si>
  <si>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</si>
  <si>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</si>
  <si>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</si>
  <si>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</si>
  <si>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</si>
  <si>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</si>
  <si>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</si>
  <si>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</si>
  <si>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</si>
  <si>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</si>
  <si>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</si>
  <si>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</si>
  <si>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</si>
  <si>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</si>
  <si>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</si>
  <si>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</si>
  <si>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</si>
  <si>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</si>
  <si>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</si>
  <si>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</si>
  <si>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</si>
  <si>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</si>
  <si>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</si>
  <si>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</si>
  <si>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</si>
  <si>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</si>
  <si>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</si>
  <si>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</si>
  <si>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</si>
  <si>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</si>
  <si>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</si>
  <si>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</si>
  <si>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</si>
  <si>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</si>
  <si>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</si>
  <si>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</si>
  <si>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</si>
  <si>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</si>
  <si>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</si>
  <si>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</si>
  <si>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</si>
  <si>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</si>
  <si>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</si>
  <si>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</si>
  <si>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</si>
  <si>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</si>
  <si>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</si>
  <si>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</si>
  <si>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</si>
  <si>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</si>
  <si>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</si>
  <si>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</si>
  <si>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</si>
  <si>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</si>
  <si>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</si>
  <si>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</si>
  <si>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</si>
  <si>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</si>
  <si>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</si>
  <si>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</si>
  <si>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</si>
  <si>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</si>
  <si>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</si>
  <si>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</si>
  <si>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</si>
  <si>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</si>
  <si>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</si>
  <si>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</si>
  <si>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</si>
  <si>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</si>
  <si>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</si>
  <si>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</si>
  <si>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</si>
  <si>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</si>
  <si>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</si>
  <si>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</si>
  <si>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</si>
  <si>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</si>
  <si>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</si>
  <si>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</si>
  <si>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</si>
  <si>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</si>
  <si>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</si>
  <si>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</si>
  <si>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</si>
  <si>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</si>
  <si>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</si>
  <si>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</si>
  <si>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</si>
  <si>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</si>
  <si>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</si>
  <si>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</si>
  <si>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</si>
  <si>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</si>
  <si>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</si>
  <si>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</si>
  <si>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</si>
  <si>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</si>
  <si>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</si>
  <si>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</si>
  <si>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</si>
  <si>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</si>
  <si>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</si>
  <si>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</si>
  <si>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</si>
  <si>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</si>
  <si>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</si>
  <si>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</si>
  <si>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</si>
  <si>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</si>
  <si>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</si>
  <si>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</si>
  <si>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</si>
  <si>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</si>
  <si>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</si>
  <si>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</si>
  <si>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</si>
  <si>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</si>
  <si>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</si>
  <si>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</si>
  <si>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</si>
  <si>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</si>
  <si>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</si>
  <si>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</si>
  <si>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</si>
  <si>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</si>
  <si>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</si>
  <si>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</si>
  <si>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</si>
  <si>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</si>
  <si>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</si>
  <si>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</si>
  <si>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</si>
  <si>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</si>
  <si>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</si>
  <si>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</si>
  <si>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</si>
  <si>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</si>
  <si>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</si>
  <si>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</si>
  <si>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</si>
  <si>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</si>
  <si>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</si>
  <si>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</si>
  <si>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</si>
  <si>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</si>
  <si>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</si>
  <si>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</si>
  <si>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</si>
  <si>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</si>
  <si>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</si>
  <si>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</si>
  <si>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</si>
  <si>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</si>
  <si>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</si>
  <si>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</si>
  <si>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</si>
  <si>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</si>
  <si>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</si>
  <si>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</si>
  <si>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</si>
  <si>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</si>
  <si>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</si>
  <si>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</si>
  <si>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</si>
  <si>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</si>
  <si>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</si>
  <si>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</si>
  <si>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</si>
  <si>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</si>
  <si>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</si>
  <si>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</si>
  <si>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</si>
  <si>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</si>
  <si>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</si>
  <si>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</si>
  <si>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</si>
  <si>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</si>
  <si>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</si>
  <si>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</si>
  <si>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</si>
  <si>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</si>
  <si>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</si>
  <si>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</si>
  <si>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</si>
  <si>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</si>
  <si>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</si>
  <si>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</si>
  <si>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</si>
  <si>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</si>
  <si>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</si>
  <si>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</si>
  <si>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</si>
  <si>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</si>
  <si>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</si>
  <si>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</si>
  <si>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</si>
  <si>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</si>
  <si>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</si>
  <si>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</si>
  <si>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</si>
  <si>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</si>
  <si>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</si>
  <si>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</si>
  <si>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</si>
  <si>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</si>
  <si>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</si>
  <si>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</si>
  <si>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</si>
  <si>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</si>
  <si>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</si>
  <si>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</si>
  <si>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</si>
  <si>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</si>
  <si>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</si>
  <si>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</si>
  <si>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</si>
  <si>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</si>
  <si>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</si>
  <si>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</si>
  <si>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</si>
  <si>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</si>
  <si>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</si>
  <si>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</si>
  <si>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</si>
  <si>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</si>
  <si>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</si>
  <si>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</si>
  <si>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</si>
  <si>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</si>
  <si>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</si>
  <si>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</si>
  <si>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</si>
  <si>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</si>
  <si>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</si>
  <si>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</si>
  <si>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</si>
  <si>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</si>
  <si>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</si>
  <si>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</si>
  <si>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</si>
  <si>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</si>
  <si>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</si>
  <si>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</si>
  <si>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</si>
  <si>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</si>
  <si>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</si>
  <si>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</si>
  <si>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</si>
  <si>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</si>
  <si>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</si>
  <si>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</si>
  <si>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</si>
  <si>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</si>
  <si>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</si>
  <si>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</si>
  <si>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</si>
  <si>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</si>
  <si>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</si>
  <si>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</si>
  <si>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</si>
  <si>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</si>
  <si>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</si>
  <si>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</si>
  <si>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</si>
  <si>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</si>
  <si>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</si>
  <si>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</si>
  <si>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</si>
  <si>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</si>
  <si>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</si>
  <si>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</si>
  <si>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</si>
  <si>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</si>
  <si>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</si>
  <si>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</si>
  <si>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</si>
  <si>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</si>
  <si>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</si>
  <si>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</si>
  <si>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</si>
  <si>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</si>
  <si>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</si>
  <si>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</si>
  <si>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</si>
  <si>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</si>
  <si>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</si>
  <si>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</si>
  <si>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</si>
  <si>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</si>
  <si>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</si>
  <si>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</si>
  <si>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</si>
  <si>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</si>
  <si>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</si>
  <si>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</si>
  <si>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</si>
  <si>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</si>
  <si>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</si>
  <si>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</si>
  <si>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</si>
  <si>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</si>
  <si>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</si>
  <si>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</si>
  <si>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</si>
  <si>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</si>
  <si>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</si>
  <si>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</si>
  <si>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</si>
  <si>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</si>
  <si>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</si>
  <si>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</si>
  <si>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</si>
  <si>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</si>
  <si>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</si>
  <si>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</si>
  <si>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</si>
  <si>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</si>
  <si>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</si>
  <si>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</si>
  <si>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</si>
  <si>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</si>
  <si>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</si>
  <si>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</si>
  <si>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</si>
  <si>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</si>
  <si>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</si>
  <si>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</si>
  <si>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</si>
  <si>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</si>
  <si>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</si>
  <si>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</si>
  <si>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</si>
  <si>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</si>
  <si>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</si>
  <si>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</si>
  <si>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</si>
  <si>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</si>
  <si>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</si>
  <si>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</si>
  <si>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</si>
  <si>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</si>
  <si>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</si>
  <si>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</si>
  <si>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</si>
  <si>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</si>
  <si>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</si>
  <si>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</si>
  <si>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</si>
  <si>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</si>
  <si>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</si>
  <si>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</si>
  <si>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</si>
  <si>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</si>
  <si>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</si>
  <si>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</si>
  <si>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</si>
  <si>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</si>
  <si>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</si>
  <si>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</si>
  <si>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</si>
  <si>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</si>
  <si>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</si>
  <si>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</si>
  <si>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</si>
  <si>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</si>
  <si>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</si>
  <si>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</si>
  <si>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</si>
  <si>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</si>
  <si>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</si>
  <si>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</si>
  <si>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</si>
  <si>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</si>
  <si>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</si>
  <si>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</si>
  <si>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</si>
  <si>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</si>
  <si>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</si>
  <si>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</si>
  <si>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</si>
  <si>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</si>
  <si>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</si>
  <si>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</si>
  <si>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</si>
  <si>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</si>
  <si>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</si>
  <si>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</si>
  <si>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</si>
  <si>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</si>
  <si>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</si>
  <si>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</si>
  <si>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</si>
  <si>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</si>
  <si>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</si>
  <si>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</si>
  <si>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</si>
  <si>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</si>
  <si>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</si>
  <si>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</si>
  <si>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</si>
  <si>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</si>
  <si>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</si>
  <si>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</si>
  <si>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</si>
  <si>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</si>
  <si>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</si>
  <si>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</si>
  <si>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</si>
  <si>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</si>
  <si>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</si>
  <si>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</si>
  <si>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</si>
  <si>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</si>
  <si>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</si>
  <si>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</si>
  <si>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</si>
  <si>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</si>
  <si>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</si>
  <si>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</si>
  <si>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</si>
  <si>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</si>
  <si>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</si>
  <si>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</si>
  <si>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</si>
  <si>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</si>
  <si>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</si>
  <si>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</si>
  <si>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</si>
  <si>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</si>
  <si>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</si>
  <si>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</si>
  <si>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</si>
  <si>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</si>
  <si>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</si>
  <si>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</si>
  <si>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</si>
  <si>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</si>
  <si>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</si>
  <si>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</si>
  <si>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</si>
  <si>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</si>
  <si>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</si>
  <si>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</si>
  <si>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</si>
  <si>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</si>
  <si>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</si>
  <si>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</si>
  <si>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</si>
  <si>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</si>
  <si>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</si>
  <si>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</si>
  <si>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</si>
  <si>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</si>
  <si>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</si>
  <si>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</si>
  <si>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</si>
  <si>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</si>
  <si>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</si>
  <si>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</si>
  <si>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</si>
  <si>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</si>
  <si>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</si>
  <si>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</si>
  <si>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</si>
  <si>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</si>
  <si>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</si>
  <si>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</si>
  <si>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</si>
  <si>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</si>
  <si>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</si>
  <si>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</si>
  <si>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</si>
  <si>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</si>
  <si>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</si>
  <si>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</si>
  <si>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</si>
  <si>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</si>
  <si>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</si>
  <si>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</si>
  <si>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</si>
  <si>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</si>
  <si>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</si>
  <si>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</si>
  <si>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</si>
  <si>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</si>
  <si>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</si>
  <si>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</si>
  <si>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</si>
  <si>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</si>
  <si>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</si>
  <si>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</si>
  <si>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</si>
  <si>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</si>
  <si>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</si>
  <si>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</si>
  <si>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</si>
  <si>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</si>
  <si>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</si>
  <si>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</si>
  <si>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</si>
  <si>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</si>
  <si>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</si>
  <si>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</si>
  <si>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</si>
  <si>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</si>
  <si>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</si>
  <si>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</si>
  <si>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</si>
  <si>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</si>
  <si>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</si>
  <si>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</si>
  <si>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</si>
  <si>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</si>
  <si>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</si>
  <si>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</si>
  <si>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</si>
  <si>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</si>
  <si>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</si>
  <si>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</si>
  <si>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</si>
  <si>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</si>
  <si>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</si>
  <si>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</si>
  <si>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</si>
  <si>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</si>
  <si>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</si>
  <si>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</si>
  <si>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</si>
  <si>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</si>
  <si>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</si>
  <si>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</si>
  <si>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</si>
  <si>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</si>
  <si>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</si>
  <si>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</si>
  <si>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</si>
  <si>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</si>
  <si>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</si>
  <si>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</si>
  <si>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</si>
  <si>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</si>
  <si>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</si>
  <si>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</si>
  <si>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</si>
  <si>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</si>
  <si>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</si>
  <si>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</si>
  <si>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</si>
  <si>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</si>
  <si>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</si>
  <si>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</si>
  <si>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</si>
  <si>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</si>
  <si>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</si>
  <si>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</si>
  <si>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</si>
  <si>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</si>
  <si>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</si>
  <si>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</si>
  <si>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</si>
  <si>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</si>
  <si>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</si>
  <si>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</si>
  <si>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</si>
  <si>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</si>
  <si>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</si>
  <si>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</si>
  <si>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</si>
  <si>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</si>
  <si>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</si>
  <si>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</si>
  <si>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</si>
  <si>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</si>
  <si>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</si>
  <si>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</si>
  <si>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</si>
  <si>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</si>
  <si>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</si>
  <si>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</si>
  <si>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</si>
  <si>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</si>
  <si>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</si>
  <si>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</si>
  <si>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</si>
  <si>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</si>
  <si>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</si>
  <si>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</si>
  <si>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</si>
  <si>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</si>
  <si>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</si>
  <si>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</si>
  <si>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</si>
  <si>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</si>
  <si>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</si>
  <si>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</si>
  <si>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</si>
  <si>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</si>
  <si>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</si>
  <si>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</si>
  <si>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</si>
  <si>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</si>
  <si>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</si>
  <si>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</si>
  <si>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</si>
  <si>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</si>
  <si>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</si>
  <si>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</si>
  <si>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</si>
  <si>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</si>
  <si>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</si>
  <si>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</si>
  <si>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</si>
  <si>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</si>
  <si>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</si>
  <si>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</si>
  <si>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</si>
  <si>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</si>
  <si>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</si>
  <si>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</si>
  <si>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</si>
  <si>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</si>
  <si>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</si>
  <si>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</si>
  <si>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</si>
  <si>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</si>
  <si>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</si>
  <si>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</si>
  <si>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</si>
  <si>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</si>
  <si>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</si>
  <si>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</si>
  <si>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</si>
  <si>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</si>
  <si>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</si>
  <si>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</si>
  <si>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</si>
  <si>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</si>
  <si>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</si>
  <si>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</si>
  <si>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</si>
  <si>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</si>
  <si>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</si>
  <si>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</si>
  <si>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</si>
  <si>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</si>
  <si>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</si>
  <si>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</si>
  <si>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</si>
  <si>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</si>
  <si>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</si>
  <si>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</si>
  <si>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</si>
  <si>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</si>
  <si>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</si>
  <si>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</si>
  <si>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</si>
  <si>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</si>
  <si>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</si>
  <si>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</si>
  <si>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</si>
  <si>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</si>
  <si>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</si>
  <si>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</si>
  <si>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</si>
  <si>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</si>
  <si>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</si>
  <si>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</si>
  <si>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</si>
  <si>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</si>
  <si>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</si>
  <si>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</si>
  <si>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</si>
  <si>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</si>
  <si>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</si>
  <si>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</si>
  <si>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</si>
  <si>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</si>
  <si>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</si>
  <si>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</si>
  <si>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</si>
  <si>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</si>
  <si>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</si>
  <si>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</si>
  <si>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</si>
  <si>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</si>
  <si>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</si>
  <si>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</si>
  <si>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</si>
  <si>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</si>
  <si>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</si>
  <si>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</si>
  <si>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</si>
  <si>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</si>
  <si>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</si>
  <si>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</si>
  <si>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</si>
  <si>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</si>
  <si>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</si>
  <si>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</si>
  <si>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</si>
  <si>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</si>
  <si>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</si>
  <si>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</si>
  <si>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</si>
  <si>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</si>
  <si>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</si>
  <si>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</si>
  <si>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</si>
  <si>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</si>
  <si>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</si>
  <si>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</si>
  <si>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</si>
  <si>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</si>
  <si>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</si>
  <si>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</si>
  <si>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</si>
  <si>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</si>
  <si>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</si>
  <si>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</si>
  <si>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</si>
  <si>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</si>
  <si>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</si>
  <si>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</si>
  <si>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</si>
  <si>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</si>
  <si>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</si>
  <si>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</si>
  <si>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</si>
  <si>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</si>
  <si>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</si>
  <si>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</si>
  <si>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</si>
  <si>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</si>
  <si>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</si>
  <si>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</si>
  <si>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</si>
  <si>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</si>
  <si>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</si>
  <si>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</si>
  <si>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</si>
  <si>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</si>
  <si>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</si>
  <si>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</si>
  <si>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</si>
  <si>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</si>
  <si>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</si>
  <si>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</si>
  <si>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</si>
  <si>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</si>
  <si>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</si>
  <si>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</si>
  <si>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</si>
  <si>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</si>
  <si>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</si>
  <si>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</si>
  <si>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</si>
  <si>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</si>
  <si>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</si>
  <si>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</si>
  <si>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</si>
  <si>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</si>
  <si>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</si>
  <si>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</si>
  <si>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</si>
  <si>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</si>
  <si>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</si>
  <si>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</si>
  <si>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</si>
  <si>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</si>
  <si>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</si>
  <si>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</si>
  <si>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</si>
  <si>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</si>
  <si>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</si>
  <si>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</si>
  <si>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</si>
  <si>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</si>
  <si>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</si>
  <si>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</si>
  <si>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</si>
  <si>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</si>
  <si>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</si>
  <si>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</si>
  <si>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</si>
  <si>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</si>
  <si>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</si>
  <si>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</si>
  <si>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</si>
  <si>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</si>
  <si>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</si>
  <si>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</si>
  <si>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</si>
  <si>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</si>
  <si>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</si>
  <si>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</si>
  <si>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</si>
  <si>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</si>
  <si>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</si>
  <si>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</si>
  <si>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</si>
  <si>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</si>
  <si>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</si>
  <si>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</si>
  <si>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</si>
  <si>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</si>
  <si>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</si>
  <si>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</si>
  <si>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</si>
  <si>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</si>
  <si>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</si>
  <si>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</si>
  <si>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</si>
  <si>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</si>
  <si>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</si>
  <si>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</si>
  <si>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</si>
  <si>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</si>
  <si>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</si>
  <si>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</si>
  <si>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</si>
  <si>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</si>
  <si>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</si>
  <si>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</si>
  <si>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</si>
  <si>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</si>
  <si>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</si>
  <si>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</si>
  <si>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</si>
  <si>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</si>
  <si>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</si>
  <si>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</si>
  <si>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</si>
  <si>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</si>
  <si>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</si>
  <si>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</si>
  <si>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</si>
  <si>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</si>
  <si>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</si>
  <si>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</si>
  <si>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</si>
  <si>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</si>
  <si>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</si>
  <si>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</si>
  <si>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</si>
  <si>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</si>
  <si>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</si>
  <si>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</si>
  <si>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</si>
  <si>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</si>
  <si>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</si>
  <si>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</si>
  <si>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</si>
  <si>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</si>
  <si>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</si>
  <si>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</si>
  <si>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</si>
  <si>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</si>
  <si>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</si>
  <si>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</si>
  <si>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</si>
  <si>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</si>
  <si>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</si>
  <si>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</si>
  <si>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</si>
  <si>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</si>
  <si>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</si>
  <si>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</si>
  <si>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</si>
  <si>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</si>
  <si>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</si>
  <si>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</si>
  <si>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</si>
  <si>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</si>
  <si>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</si>
  <si>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</si>
  <si>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</si>
  <si>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</si>
  <si>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</si>
  <si>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</si>
  <si>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</si>
  <si>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</si>
  <si>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</si>
  <si>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</si>
  <si>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</si>
  <si>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</si>
  <si>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</si>
  <si>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</si>
  <si>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</si>
  <si>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</si>
  <si>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</si>
  <si>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</si>
  <si>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</si>
  <si>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</si>
  <si>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</si>
  <si>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</si>
  <si>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</si>
  <si>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</si>
  <si>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</si>
  <si>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</si>
  <si>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</si>
  <si>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</si>
  <si>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</si>
  <si>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</si>
  <si>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</si>
  <si>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</si>
  <si>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</si>
  <si>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</si>
  <si>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</si>
  <si>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</si>
  <si>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</si>
  <si>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</si>
  <si>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</si>
  <si>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</si>
  <si>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</si>
  <si>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</si>
  <si>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</si>
  <si>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</si>
  <si>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</si>
  <si>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</si>
  <si>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</si>
  <si>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</si>
  <si>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</si>
  <si>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</si>
  <si>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</si>
  <si>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</si>
  <si>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</si>
  <si>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</si>
  <si>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</si>
  <si>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</si>
  <si>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</si>
  <si>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</si>
  <si>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</si>
  <si>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</si>
  <si>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</si>
  <si>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</si>
  <si>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</si>
  <si>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</si>
  <si>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</si>
  <si>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</si>
  <si>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</si>
  <si>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</si>
  <si>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</si>
  <si>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</si>
  <si>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</si>
  <si>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</si>
  <si>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</si>
  <si>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</si>
  <si>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</si>
  <si>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</si>
  <si>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</si>
  <si>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</si>
  <si>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</si>
  <si>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</si>
  <si>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</si>
  <si>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</si>
  <si>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</si>
  <si>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</si>
  <si>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</si>
  <si>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</si>
  <si>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</si>
  <si>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</si>
  <si>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</si>
  <si>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</si>
  <si>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</si>
  <si>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</si>
  <si>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</si>
  <si>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</si>
  <si>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</si>
  <si>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</si>
  <si>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</si>
  <si>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</si>
  <si>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</si>
  <si>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</si>
  <si>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</si>
  <si>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</si>
  <si>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</si>
  <si>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</si>
  <si>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</si>
  <si>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</si>
  <si>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</si>
  <si>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</si>
  <si>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</si>
  <si>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</si>
  <si>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</si>
  <si>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</si>
  <si>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</si>
  <si>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</si>
  <si>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</si>
  <si>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</si>
  <si>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</si>
  <si>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</si>
  <si>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</si>
  <si>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</si>
  <si>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</si>
  <si>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</si>
  <si>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</si>
  <si>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</si>
  <si>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</si>
  <si>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</si>
  <si>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</si>
  <si>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</si>
  <si>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</si>
  <si>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</si>
  <si>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</si>
  <si>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</si>
  <si>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</si>
  <si>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</si>
  <si>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</si>
  <si>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</si>
  <si>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</si>
  <si>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</si>
  <si>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</si>
  <si>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</si>
  <si>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</si>
  <si>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</si>
  <si>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</si>
  <si>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</si>
  <si>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</si>
  <si>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</si>
  <si>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</si>
  <si>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</si>
  <si>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</si>
  <si>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</si>
  <si>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</si>
  <si>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</si>
  <si>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</si>
  <si>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</si>
  <si>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</si>
  <si>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</si>
  <si>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</si>
  <si>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</si>
  <si>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</si>
  <si>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</si>
  <si>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</si>
  <si>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</si>
  <si>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</si>
  <si>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</si>
  <si>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</si>
  <si>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</si>
  <si>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</si>
  <si>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</si>
  <si>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</si>
  <si>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</si>
  <si>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</si>
  <si>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</si>
  <si>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</si>
  <si>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</si>
  <si>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</si>
  <si>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</si>
  <si>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</si>
  <si>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</si>
  <si>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</si>
  <si>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</si>
  <si>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</si>
  <si>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</si>
  <si>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</si>
  <si>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</si>
  <si>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</si>
  <si>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</si>
  <si>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</si>
  <si>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</si>
  <si>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</si>
  <si>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</si>
  <si>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</si>
  <si>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</si>
  <si>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</si>
  <si>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</si>
  <si>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</si>
  <si>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</si>
  <si>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</si>
  <si>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</si>
  <si>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</si>
  <si>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</si>
  <si>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</si>
  <si>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</si>
  <si>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</si>
  <si>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</si>
  <si>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</si>
  <si>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</si>
  <si>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</si>
  <si>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</si>
  <si>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</si>
  <si>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</si>
  <si>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</si>
  <si>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</si>
  <si>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</si>
  <si>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</si>
  <si>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</si>
  <si>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</si>
  <si>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</si>
  <si>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</si>
  <si>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</si>
  <si>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</si>
  <si>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</si>
  <si>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</si>
  <si>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</si>
  <si>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</si>
  <si>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</si>
  <si>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</si>
  <si>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</si>
  <si>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</si>
  <si>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</si>
  <si>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</si>
  <si>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</si>
  <si>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</si>
  <si>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</si>
  <si>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</si>
  <si>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</si>
  <si>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</si>
  <si>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</si>
  <si>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</si>
  <si>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</si>
  <si>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</si>
  <si>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</si>
  <si>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</si>
  <si>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</si>
  <si>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</si>
  <si>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</si>
  <si>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</si>
  <si>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</si>
  <si>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</si>
  <si>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</si>
  <si>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</si>
  <si>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</si>
  <si>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</si>
  <si>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</si>
  <si>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</si>
  <si>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</si>
  <si>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</si>
  <si>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</si>
  <si>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</si>
  <si>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</si>
  <si>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</si>
  <si>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</si>
  <si>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</si>
  <si>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</si>
  <si>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</si>
  <si>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</si>
  <si>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</si>
  <si>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</si>
  <si>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</si>
  <si>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</si>
  <si>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</si>
  <si>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</si>
  <si>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</si>
  <si>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</si>
  <si>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</si>
  <si>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</si>
  <si>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</si>
  <si>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</si>
  <si>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</si>
  <si>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</si>
  <si>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</si>
  <si>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</si>
  <si>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</si>
  <si>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</si>
  <si>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</si>
  <si>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</si>
  <si>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</si>
  <si>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</si>
  <si>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</si>
  <si>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</si>
  <si>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</si>
  <si>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</si>
  <si>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</si>
  <si>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</si>
  <si>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</si>
  <si>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</si>
  <si>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</si>
  <si>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</si>
  <si>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</si>
  <si>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</si>
  <si>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</si>
  <si>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</si>
  <si>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</si>
  <si>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</si>
  <si>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</si>
  <si>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</si>
  <si>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</si>
  <si>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</si>
  <si>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</si>
  <si>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</si>
  <si>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</si>
  <si>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</si>
  <si>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</si>
  <si>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</si>
  <si>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</si>
  <si>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</si>
  <si>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</si>
  <si>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</si>
  <si>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</si>
  <si>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</si>
  <si>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</si>
  <si>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</si>
  <si>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</si>
  <si>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</si>
  <si>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</si>
  <si>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</si>
  <si>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</si>
  <si>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</si>
  <si>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</si>
  <si>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</si>
  <si>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</si>
  <si>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</si>
  <si>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</si>
  <si>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</si>
  <si>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</si>
  <si>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</si>
  <si>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</si>
  <si>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</si>
  <si>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</si>
  <si>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</si>
  <si>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</si>
  <si>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</si>
  <si>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</si>
  <si>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</si>
  <si>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</si>
  <si>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</si>
  <si>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</si>
  <si>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</si>
  <si>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</si>
  <si>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</si>
  <si>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</si>
  <si>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</si>
  <si>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</si>
  <si>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</si>
  <si>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</si>
  <si>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</si>
  <si>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</si>
  <si>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</si>
  <si>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</si>
  <si>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</si>
  <si>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</si>
  <si>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</si>
  <si>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</si>
  <si>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</si>
  <si>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</si>
  <si>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</si>
  <si>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</si>
  <si>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</si>
  <si>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</si>
  <si>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</si>
  <si>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</si>
  <si>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</si>
  <si>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</si>
  <si>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</si>
  <si>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</si>
  <si>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</si>
  <si>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</si>
  <si>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</si>
  <si>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</si>
  <si>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</si>
  <si>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</si>
  <si>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</si>
  <si>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</si>
  <si>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</si>
  <si>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</si>
  <si>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</si>
  <si>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</si>
  <si>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</si>
  <si>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</si>
  <si>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</si>
  <si>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</si>
  <si>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</si>
  <si>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</si>
  <si>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</si>
  <si>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</si>
  <si>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</si>
  <si>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</si>
  <si>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</si>
  <si>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</si>
  <si>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</si>
  <si>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</si>
  <si>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</si>
  <si>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</si>
  <si>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</si>
  <si>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</si>
  <si>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</si>
  <si>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</si>
  <si>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</si>
  <si>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</si>
  <si>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</si>
  <si>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</si>
  <si>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</si>
  <si>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</si>
  <si>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</si>
  <si>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</si>
  <si>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</si>
  <si>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</si>
  <si>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</si>
  <si>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</si>
  <si>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</si>
  <si>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</si>
  <si>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</si>
  <si>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</si>
  <si>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</si>
  <si>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</si>
  <si>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</si>
  <si>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</si>
  <si>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</si>
  <si>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</si>
  <si>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</si>
  <si>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</si>
  <si>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</si>
  <si>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</si>
  <si>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</si>
  <si>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</si>
  <si>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</si>
  <si>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</si>
  <si>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</si>
  <si>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</si>
  <si>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</si>
  <si>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</si>
  <si>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</si>
  <si>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</si>
  <si>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</si>
  <si>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</si>
  <si>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</si>
  <si>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</si>
  <si>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</si>
  <si>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</si>
  <si>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</si>
  <si>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</si>
  <si>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</si>
  <si>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</si>
  <si>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</si>
  <si>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</si>
  <si>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</si>
  <si>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</si>
  <si>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</si>
  <si>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</si>
  <si>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</si>
  <si>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</si>
  <si>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</si>
  <si>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</si>
  <si>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</si>
  <si>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</si>
  <si>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</si>
  <si>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</si>
  <si>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</si>
  <si>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</si>
  <si>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</si>
  <si>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</si>
  <si>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</si>
  <si>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</si>
  <si>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</si>
  <si>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</si>
  <si>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</si>
  <si>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</si>
  <si>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</si>
  <si>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</si>
  <si>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</si>
  <si>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</si>
  <si>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</si>
  <si>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</si>
  <si>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</si>
  <si>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</si>
  <si>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</si>
  <si>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</si>
  <si>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</si>
  <si>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</si>
  <si>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</si>
  <si>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</si>
  <si>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</si>
  <si>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</si>
  <si>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</si>
  <si>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</si>
  <si>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</si>
  <si>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</si>
  <si>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</si>
  <si>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</si>
  <si>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</si>
  <si>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</si>
  <si>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</si>
  <si>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</si>
  <si>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</si>
  <si>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</si>
  <si>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</si>
  <si>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</si>
  <si>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</si>
  <si>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</si>
  <si>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</si>
  <si>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</si>
  <si>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</si>
  <si>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</si>
  <si>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</si>
  <si>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</si>
  <si>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</si>
  <si>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</si>
  <si>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</si>
  <si>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</si>
  <si>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</si>
  <si>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</si>
  <si>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</si>
  <si>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</si>
  <si>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</si>
  <si>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</si>
  <si>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</si>
  <si>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</si>
  <si>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</si>
  <si>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</si>
  <si>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</si>
  <si>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</si>
  <si>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</si>
  <si>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</si>
  <si>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</si>
  <si>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</si>
  <si>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</si>
  <si>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</si>
  <si>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</si>
  <si>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</si>
  <si>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</si>
  <si>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</si>
  <si>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</si>
  <si>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</si>
  <si>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</si>
  <si>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</si>
  <si>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</si>
  <si>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</si>
  <si>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</si>
  <si>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</si>
  <si>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</si>
  <si>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</si>
  <si>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</si>
  <si>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</si>
  <si>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</si>
  <si>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</si>
  <si>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</si>
  <si>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</si>
  <si>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</si>
  <si>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</si>
  <si>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</si>
  <si>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</si>
  <si>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</si>
  <si>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</si>
  <si>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</si>
  <si>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</si>
  <si>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</si>
  <si>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</si>
  <si>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</si>
  <si>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</si>
  <si>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</si>
  <si>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</si>
  <si>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</si>
  <si>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</si>
  <si>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</si>
  <si>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</si>
  <si>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</si>
  <si>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</si>
  <si>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</si>
  <si>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</si>
  <si>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</si>
  <si>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</si>
  <si>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</si>
  <si>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</si>
  <si>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</si>
  <si>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</si>
  <si>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</si>
  <si>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</si>
  <si>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</si>
  <si>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</si>
  <si>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</si>
  <si>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</si>
  <si>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</si>
  <si>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</si>
  <si>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</si>
  <si>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</si>
  <si>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</si>
  <si>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</si>
  <si>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</si>
  <si>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</si>
  <si>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</si>
  <si>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</si>
  <si>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</si>
  <si>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</si>
  <si>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</si>
  <si>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</si>
  <si>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</si>
  <si>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</si>
  <si>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</si>
  <si>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</si>
  <si>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</si>
  <si>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</si>
  <si>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</si>
  <si>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</si>
  <si>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</si>
  <si>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</si>
  <si>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</si>
  <si>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</si>
  <si>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</si>
  <si>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</si>
  <si>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</si>
  <si>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</si>
  <si>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</si>
  <si>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</si>
  <si>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</si>
  <si>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</si>
  <si>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</si>
  <si>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</si>
  <si>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</si>
  <si>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</si>
  <si>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</si>
  <si>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</si>
  <si>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</si>
  <si>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</si>
  <si>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</si>
  <si>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</si>
  <si>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</si>
  <si>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</si>
  <si>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</si>
  <si>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</si>
  <si>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</si>
  <si>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</si>
  <si>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</si>
  <si>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</si>
  <si>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</si>
  <si>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</si>
  <si>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</si>
  <si>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</si>
  <si>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</si>
  <si>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</si>
  <si>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</si>
  <si>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</si>
  <si>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</si>
  <si>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</si>
  <si>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</si>
  <si>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</si>
  <si>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</si>
  <si>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</si>
  <si>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</si>
  <si>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</si>
  <si>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</si>
  <si>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</si>
  <si>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</si>
  <si>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</si>
  <si>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</si>
  <si>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</si>
  <si>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</si>
  <si>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</si>
  <si>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</si>
  <si>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</si>
  <si>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</si>
  <si>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</si>
  <si>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</si>
  <si>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</si>
  <si>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</si>
  <si>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</si>
  <si>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</si>
  <si>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</si>
  <si>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</si>
  <si>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</si>
  <si>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</si>
  <si>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</si>
  <si>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</si>
  <si>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</si>
  <si>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</si>
  <si>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</si>
  <si>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</si>
  <si>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</si>
  <si>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</si>
  <si>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</si>
  <si>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</si>
  <si>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</si>
  <si>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</si>
  <si>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</si>
  <si>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</si>
  <si>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</si>
  <si>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</si>
  <si>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</si>
  <si>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</si>
  <si>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</si>
  <si>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</si>
  <si>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</si>
  <si>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</si>
  <si>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</si>
  <si>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</si>
  <si>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</si>
  <si>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</si>
  <si>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</si>
  <si>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</si>
  <si>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</si>
  <si>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</si>
  <si>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</si>
  <si>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</si>
  <si>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</si>
  <si>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</si>
  <si>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</si>
  <si>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</si>
  <si>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</si>
  <si>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</si>
  <si>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</si>
  <si>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</si>
  <si>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</si>
  <si>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</si>
  <si>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</si>
  <si>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</si>
  <si>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</si>
  <si>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</si>
  <si>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</si>
  <si>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</si>
  <si>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</si>
  <si>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</si>
  <si>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</si>
  <si>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</si>
  <si>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</si>
  <si>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</si>
  <si>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</si>
  <si>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</si>
  <si>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</si>
  <si>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</si>
  <si>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</si>
  <si>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</si>
  <si>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</si>
  <si>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</si>
  <si>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</si>
  <si>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</si>
  <si>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</si>
  <si>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</si>
  <si>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</si>
  <si>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</si>
  <si>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</si>
  <si>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</si>
  <si>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</si>
  <si>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</si>
  <si>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</si>
  <si>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</si>
  <si>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</si>
  <si>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</si>
  <si>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</si>
  <si>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</si>
  <si>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</si>
  <si>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</si>
  <si>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</si>
  <si>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</si>
  <si>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</si>
  <si>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</si>
  <si>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</si>
  <si>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</si>
  <si>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</si>
  <si>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</si>
  <si>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</si>
  <si>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</si>
  <si>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</si>
  <si>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</si>
  <si>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</si>
  <si>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</si>
  <si>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</si>
  <si>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</si>
  <si>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</si>
  <si>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</si>
  <si>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</si>
  <si>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</si>
  <si>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</si>
  <si>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</si>
  <si>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</si>
  <si>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</si>
  <si>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</si>
  <si>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</si>
  <si>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</si>
  <si>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</si>
  <si>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</si>
  <si>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</si>
  <si>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</si>
  <si>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</si>
  <si>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</si>
  <si>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</si>
  <si>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</si>
  <si>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</si>
  <si>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</si>
  <si>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</si>
  <si>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</si>
  <si>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</si>
  <si>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</si>
  <si>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</si>
  <si>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</si>
  <si>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</si>
  <si>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</si>
  <si>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</si>
  <si>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</si>
  <si>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</si>
  <si>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</si>
  <si>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</si>
  <si>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</si>
  <si>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</si>
  <si>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</si>
  <si>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</si>
  <si>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</si>
  <si>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</si>
  <si>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</si>
  <si>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</si>
  <si>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</si>
  <si>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</si>
  <si>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</si>
  <si>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</si>
  <si>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</si>
  <si>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</si>
  <si>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</si>
  <si>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</si>
  <si>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</si>
  <si>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</si>
  <si>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</si>
  <si>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</si>
  <si>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</si>
  <si>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</si>
  <si>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</si>
  <si>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</si>
  <si>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</si>
  <si>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</si>
  <si>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</si>
  <si>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</si>
  <si>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</si>
  <si>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</si>
  <si>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</si>
  <si>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</si>
  <si>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</si>
  <si>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</si>
  <si>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</si>
  <si>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</si>
  <si>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</si>
  <si>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</si>
  <si>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</si>
  <si>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</si>
  <si>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</si>
  <si>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</si>
  <si>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</si>
  <si>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</si>
  <si>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</si>
  <si>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</si>
  <si>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</si>
  <si>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</si>
  <si>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</si>
  <si>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</si>
  <si>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</si>
  <si>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</si>
  <si>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</si>
  <si>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</si>
  <si>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</si>
  <si>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</si>
  <si>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</si>
  <si>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</si>
  <si>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</si>
  <si>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</si>
  <si>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</si>
  <si>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</si>
  <si>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</si>
  <si>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</si>
  <si>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</si>
  <si>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</si>
  <si>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</si>
  <si>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</si>
  <si>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</si>
  <si>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</si>
  <si>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</si>
  <si>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</si>
  <si>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</si>
  <si>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</si>
  <si>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</si>
  <si>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</si>
  <si>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</si>
  <si>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</si>
  <si>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</si>
  <si>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</si>
  <si>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</si>
  <si>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</si>
  <si>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</si>
  <si>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</si>
  <si>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</si>
  <si>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</si>
  <si>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</si>
  <si>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</si>
  <si>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</si>
  <si>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</si>
  <si>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</si>
  <si>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</si>
  <si>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</si>
  <si>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</si>
  <si>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</si>
  <si>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</si>
  <si>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</si>
  <si>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</si>
  <si>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</si>
  <si>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</si>
  <si>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</si>
  <si>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</si>
  <si>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</si>
  <si>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</si>
  <si>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</si>
  <si>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</si>
  <si>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</si>
  <si>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</si>
  <si>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</si>
  <si>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</si>
  <si>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</si>
  <si>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</si>
  <si>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</si>
  <si>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</si>
  <si>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</si>
  <si>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</si>
  <si>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</si>
  <si>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</si>
  <si>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</si>
  <si>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</si>
  <si>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</si>
  <si>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</si>
  <si>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</si>
  <si>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</si>
  <si>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</si>
  <si>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</si>
  <si>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</si>
  <si>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</si>
  <si>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</si>
  <si>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</si>
  <si>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</si>
  <si>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</si>
  <si>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</si>
  <si>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</si>
  <si>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</si>
  <si>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</si>
  <si>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</si>
  <si>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</si>
  <si>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</si>
  <si>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</si>
  <si>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</si>
  <si>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</si>
  <si>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</si>
  <si>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</si>
  <si>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</si>
  <si>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</si>
  <si>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</si>
  <si>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</si>
  <si>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</si>
  <si>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</si>
  <si>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</si>
  <si>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</si>
  <si>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</si>
  <si>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</si>
  <si>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</si>
  <si>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</si>
  <si>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</si>
  <si>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</si>
  <si>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</si>
  <si>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</si>
  <si>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</si>
  <si>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</si>
  <si>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</si>
  <si>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</si>
  <si>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</si>
  <si>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</si>
  <si>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</si>
  <si>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</si>
  <si>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</si>
  <si>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</si>
  <si>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</si>
  <si>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</si>
  <si>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</si>
  <si>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</si>
  <si>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</si>
  <si>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</si>
  <si>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</si>
  <si>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</si>
  <si>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</si>
  <si>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</si>
  <si>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</si>
  <si>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</si>
  <si>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</si>
  <si>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</si>
  <si>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</si>
  <si>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</si>
  <si>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</si>
  <si>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</si>
  <si>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</si>
  <si>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</si>
  <si>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</si>
  <si>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</si>
  <si>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</si>
  <si>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</si>
  <si>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</si>
  <si>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</si>
  <si>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</si>
  <si>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</si>
  <si>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</si>
  <si>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</si>
  <si>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</si>
  <si>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</si>
  <si>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</si>
  <si>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</si>
  <si>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</si>
  <si>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</si>
  <si>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</si>
  <si>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</si>
  <si>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</si>
  <si>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</si>
  <si>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</si>
  <si>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</si>
  <si>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</si>
  <si>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</si>
  <si>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</si>
  <si>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</si>
  <si>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</si>
  <si>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</si>
  <si>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</si>
  <si>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</si>
  <si>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</si>
  <si>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</si>
  <si>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</si>
  <si>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</si>
  <si>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</si>
  <si>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</si>
  <si>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</si>
  <si>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</si>
  <si>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</si>
  <si>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</si>
  <si>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</si>
  <si>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</si>
  <si>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</si>
  <si>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</si>
  <si>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</si>
  <si>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</si>
  <si>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</si>
  <si>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</si>
  <si>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</si>
  <si>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</si>
  <si>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</si>
  <si>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</si>
  <si>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</si>
  <si>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</si>
  <si>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</si>
  <si>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</si>
  <si>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</si>
  <si>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</si>
  <si>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</si>
  <si>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</si>
  <si>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</si>
  <si>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</si>
  <si>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</si>
  <si>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</si>
  <si>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</si>
  <si>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</si>
  <si>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</si>
  <si>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</si>
  <si>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</si>
  <si>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</si>
  <si>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</si>
  <si>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</si>
  <si>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</si>
  <si>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</si>
  <si>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</si>
  <si>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</si>
  <si>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</si>
  <si>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</si>
  <si>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</si>
  <si>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</si>
  <si>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</si>
  <si>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</si>
  <si>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</si>
  <si>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</si>
  <si>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</si>
  <si>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</si>
  <si>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</si>
  <si>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</si>
  <si>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</si>
  <si>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</si>
  <si>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</si>
  <si>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</si>
  <si>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</si>
  <si>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</si>
  <si>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</si>
  <si>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</si>
  <si>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</si>
  <si>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</si>
  <si>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</si>
  <si>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</si>
  <si>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</si>
  <si>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</si>
  <si>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</si>
  <si>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</si>
  <si>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</si>
  <si>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</si>
  <si>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</si>
  <si>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</si>
  <si>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</si>
  <si>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</si>
  <si>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</si>
  <si>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</si>
  <si>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</si>
  <si>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</si>
  <si>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</si>
  <si>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</si>
  <si>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</si>
  <si>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</si>
  <si>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</si>
  <si>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</si>
  <si>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</si>
  <si>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</si>
  <si>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</si>
  <si>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</si>
  <si>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</si>
  <si>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</si>
  <si>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</si>
  <si>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</si>
  <si>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</si>
  <si>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</si>
  <si>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</si>
  <si>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</si>
  <si>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</si>
  <si>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</si>
  <si>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</si>
  <si>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</si>
  <si>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</si>
  <si>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</si>
  <si>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</si>
  <si>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</si>
  <si>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</si>
  <si>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</si>
  <si>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</si>
  <si>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</si>
  <si>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</si>
  <si>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</si>
  <si>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</si>
  <si>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</si>
  <si>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</si>
  <si>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</si>
  <si>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</si>
  <si>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</si>
  <si>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</si>
  <si>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</si>
  <si>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</si>
  <si>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</si>
  <si>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</si>
  <si>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</si>
  <si>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</si>
  <si>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</si>
  <si>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</si>
  <si>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</si>
  <si>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</si>
  <si>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</si>
  <si>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</si>
  <si>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</si>
  <si>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</si>
  <si>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</si>
  <si>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</si>
  <si>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</si>
  <si>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</si>
  <si>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</si>
  <si>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</si>
  <si>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</si>
  <si>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</si>
  <si>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</si>
  <si>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</si>
  <si>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</si>
  <si>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</si>
  <si>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</si>
  <si>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</si>
  <si>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</si>
  <si>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</si>
  <si>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</si>
  <si>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</si>
  <si>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</si>
  <si>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</si>
  <si>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</si>
  <si>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</si>
  <si>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</si>
  <si>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</si>
  <si>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</si>
  <si>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</si>
  <si>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</si>
  <si>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</si>
  <si>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</si>
  <si>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</si>
  <si>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</si>
  <si>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</si>
  <si>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</si>
  <si>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</si>
  <si>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</si>
  <si>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</si>
  <si>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</si>
  <si>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</si>
  <si>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</si>
  <si>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</si>
  <si>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</si>
  <si>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</si>
  <si>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</si>
  <si>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</si>
  <si>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</si>
  <si>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</si>
  <si>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</si>
  <si>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</si>
  <si>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</si>
  <si>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</si>
  <si>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</si>
  <si>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</si>
  <si>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</si>
  <si>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</si>
  <si>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</si>
  <si>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</si>
  <si>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</si>
  <si>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</si>
  <si>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</si>
  <si>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</si>
  <si>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</si>
  <si>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</si>
  <si>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</si>
  <si>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</si>
  <si>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</si>
  <si>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</si>
  <si>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</si>
  <si>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</si>
  <si>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</si>
  <si>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</si>
  <si>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</si>
  <si>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</si>
  <si>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</si>
  <si>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</si>
  <si>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</si>
  <si>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</si>
  <si>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</si>
  <si>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</si>
  <si>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</si>
  <si>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</si>
  <si>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</si>
  <si>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</si>
  <si>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</si>
  <si>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</si>
  <si>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</si>
  <si>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</si>
  <si>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</si>
  <si>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</si>
  <si>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</si>
  <si>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</si>
  <si>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</si>
  <si>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</si>
  <si>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</si>
  <si>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</si>
  <si>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</si>
  <si>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</si>
  <si>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</si>
  <si>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</si>
  <si>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</si>
  <si>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</si>
  <si>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</si>
  <si>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</si>
  <si>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</si>
  <si>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</si>
  <si>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</si>
  <si>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</si>
  <si>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</si>
  <si>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</si>
  <si>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</si>
  <si>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</si>
  <si>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</si>
  <si>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</si>
  <si>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</si>
  <si>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</si>
  <si>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</si>
  <si>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</si>
  <si>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</si>
  <si>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</si>
  <si>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</si>
  <si>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</si>
  <si>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</si>
  <si>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</si>
  <si>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</si>
  <si>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</si>
  <si>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</si>
  <si>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</si>
  <si>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</si>
  <si>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</si>
  <si>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</si>
  <si>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</si>
  <si>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</si>
  <si>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</si>
  <si>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</si>
  <si>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</si>
  <si>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</si>
  <si>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</si>
  <si>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</si>
  <si>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</si>
  <si>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</si>
  <si>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</si>
  <si>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</si>
  <si>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</si>
  <si>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</si>
  <si>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</si>
  <si>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</si>
  <si>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</si>
  <si>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</si>
  <si>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</si>
  <si>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</si>
  <si>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</si>
  <si>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</si>
  <si>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</si>
  <si>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</si>
  <si>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</si>
  <si>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</si>
  <si>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</si>
  <si>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</si>
  <si>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</si>
  <si>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</si>
  <si>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</si>
  <si>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</si>
  <si>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</si>
  <si>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</si>
  <si>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</si>
  <si>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</si>
  <si>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</si>
  <si>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</si>
  <si>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</si>
  <si>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</si>
  <si>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</si>
  <si>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</si>
  <si>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</si>
  <si>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</si>
  <si>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</si>
  <si>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</si>
  <si>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</si>
  <si>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</si>
  <si>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</si>
  <si>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</si>
  <si>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</si>
  <si>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</si>
  <si>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</si>
  <si>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</si>
  <si>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</si>
  <si>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</si>
  <si>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</si>
  <si>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</si>
  <si>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</si>
  <si>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</si>
  <si>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</si>
  <si>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</si>
  <si>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</si>
  <si>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</si>
  <si>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</si>
  <si>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</si>
  <si>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</si>
  <si>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</si>
  <si>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</si>
  <si>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</si>
  <si>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</si>
  <si>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</si>
  <si>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</si>
  <si>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</si>
  <si>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</si>
  <si>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</si>
  <si>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</si>
  <si>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</si>
  <si>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</si>
  <si>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</si>
  <si>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</si>
  <si>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</si>
  <si>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</si>
  <si>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</si>
  <si>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</si>
  <si>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</si>
  <si>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</si>
  <si>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</si>
  <si>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</si>
  <si>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</si>
  <si>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</si>
  <si>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</si>
  <si>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</si>
  <si>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</si>
  <si>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</si>
  <si>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</si>
  <si>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</si>
  <si>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</si>
  <si>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</si>
  <si>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</si>
  <si>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</si>
  <si>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</si>
  <si>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</si>
  <si>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</si>
  <si>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</si>
  <si>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</si>
  <si>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</si>
  <si>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</si>
  <si>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</si>
  <si>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</si>
  <si>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</si>
  <si>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</si>
  <si>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</si>
  <si>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</si>
  <si>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</si>
  <si>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</si>
  <si>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</si>
  <si>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</si>
  <si>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</si>
  <si>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</si>
  <si>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</si>
  <si>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</si>
  <si>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</si>
  <si>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</si>
  <si>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</si>
  <si>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</si>
  <si>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</si>
  <si>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</si>
  <si>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</si>
  <si>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</si>
  <si>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</si>
  <si>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</si>
  <si>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</si>
  <si>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</si>
  <si>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</si>
  <si>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</si>
  <si>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</si>
  <si>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</si>
  <si>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</si>
  <si>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</si>
  <si>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</si>
  <si>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</si>
  <si>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</si>
  <si>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</si>
  <si>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</si>
  <si>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</si>
  <si>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</si>
  <si>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</si>
  <si>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</si>
  <si>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</si>
  <si>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</si>
  <si>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</si>
  <si>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</si>
  <si>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</si>
  <si>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</si>
  <si>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</si>
  <si>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</si>
  <si>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</si>
  <si>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</si>
  <si>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</si>
  <si>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</si>
  <si>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</si>
  <si>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</si>
  <si>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</si>
  <si>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</si>
  <si>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</si>
  <si>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</si>
  <si>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</si>
  <si>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</si>
  <si>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</si>
  <si>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</si>
  <si>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</si>
  <si>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</si>
  <si>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</si>
  <si>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</si>
  <si>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</si>
  <si>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</si>
  <si>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</si>
  <si>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</si>
  <si>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</si>
  <si>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</si>
  <si>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</si>
  <si>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</si>
  <si>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</si>
  <si>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</si>
  <si>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</si>
  <si>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</si>
  <si>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</si>
  <si>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</si>
  <si>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</si>
  <si>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</si>
  <si>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</si>
  <si>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</si>
  <si>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</si>
  <si>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</si>
  <si>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</si>
  <si>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</si>
  <si>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</si>
  <si>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</si>
  <si>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</si>
  <si>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</si>
  <si>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</si>
  <si>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</si>
  <si>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</si>
  <si>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</si>
  <si>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</si>
  <si>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</si>
  <si>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</si>
  <si>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</si>
  <si>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</si>
  <si>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</si>
  <si>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</si>
  <si>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</si>
  <si>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</si>
  <si>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</si>
  <si>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</si>
  <si>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</si>
  <si>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</si>
  <si>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</si>
  <si>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</si>
  <si>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</si>
  <si>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</si>
  <si>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</si>
  <si>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</si>
  <si>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</si>
  <si>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</si>
  <si>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</si>
  <si>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</si>
  <si>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</si>
  <si>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</si>
  <si>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</si>
  <si>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</si>
  <si>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</si>
  <si>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</si>
  <si>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</si>
  <si>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</si>
  <si>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</si>
  <si>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</si>
  <si>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</si>
  <si>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</si>
  <si>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</si>
  <si>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</si>
  <si>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</si>
  <si>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</si>
  <si>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</si>
  <si>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</si>
  <si>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</si>
  <si>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</si>
  <si>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</si>
  <si>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</si>
  <si>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</si>
  <si>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</si>
  <si>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</si>
  <si>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</si>
  <si>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</si>
  <si>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</si>
  <si>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</si>
  <si>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</si>
  <si>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</si>
  <si>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</si>
  <si>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</si>
  <si>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</si>
  <si>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</si>
  <si>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</si>
  <si>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</si>
  <si>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</si>
  <si>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</si>
  <si>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</si>
  <si>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</si>
  <si>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</si>
  <si>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</si>
  <si>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</si>
  <si>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</si>
  <si>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</si>
  <si>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</si>
  <si>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</si>
  <si>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</si>
  <si>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</si>
  <si>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</si>
  <si>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</si>
  <si>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</si>
  <si>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</si>
  <si>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</si>
  <si>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</si>
  <si>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</si>
  <si>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</si>
  <si>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</si>
  <si>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</si>
  <si>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</si>
  <si>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</si>
  <si>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</si>
  <si>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</si>
  <si>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</si>
  <si>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</si>
  <si>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</si>
  <si>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</si>
  <si>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</si>
  <si>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</si>
  <si>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</si>
  <si>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</si>
  <si>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</si>
  <si>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</si>
  <si>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</si>
  <si>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</si>
  <si>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</si>
  <si>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</si>
  <si>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</si>
  <si>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</si>
  <si>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</si>
  <si>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</si>
  <si>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</si>
  <si>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</si>
  <si>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</si>
  <si>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</si>
  <si>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</si>
  <si>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</si>
  <si>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</si>
  <si>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</si>
  <si>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</si>
  <si>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</si>
  <si>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</si>
  <si>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</si>
  <si>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</si>
  <si>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</si>
  <si>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</si>
  <si>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</si>
  <si>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</si>
  <si>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</si>
  <si>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</si>
  <si>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</si>
  <si>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</si>
  <si>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</si>
  <si>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</si>
  <si>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</si>
  <si>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</si>
  <si>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</si>
  <si>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</si>
  <si>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</si>
  <si>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</si>
  <si>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</si>
  <si>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</si>
  <si>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</si>
  <si>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</si>
  <si>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</si>
  <si>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</si>
  <si>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</si>
  <si>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</si>
  <si>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</si>
  <si>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</si>
  <si>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</si>
  <si>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</si>
  <si>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</si>
  <si>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</si>
  <si>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</si>
  <si>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</si>
  <si>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</si>
  <si>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</si>
  <si>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</si>
  <si>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</si>
  <si>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</si>
  <si>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</si>
  <si>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</si>
  <si>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</si>
  <si>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</si>
  <si>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</si>
  <si>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</si>
  <si>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</si>
  <si>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</si>
  <si>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</si>
  <si>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</si>
  <si>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</si>
  <si>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</si>
  <si>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</si>
  <si>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</si>
  <si>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</si>
  <si>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</si>
  <si>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</si>
  <si>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</si>
  <si>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</si>
  <si>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</si>
  <si>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</si>
  <si>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</si>
  <si>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</si>
  <si>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</si>
  <si>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</si>
  <si>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</si>
  <si>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</si>
  <si>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</si>
  <si>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</si>
  <si>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</si>
  <si>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</si>
  <si>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</si>
  <si>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</si>
  <si>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</si>
  <si>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</si>
  <si>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</si>
  <si>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</si>
  <si>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</si>
  <si>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</si>
  <si>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</si>
  <si>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</si>
  <si>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</si>
  <si>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</si>
  <si>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</si>
  <si>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</si>
  <si>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</si>
  <si>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</si>
  <si>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</si>
  <si>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</si>
  <si>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</si>
  <si>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</si>
  <si>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</si>
  <si>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</si>
  <si>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</si>
  <si>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</si>
  <si>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</si>
  <si>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</si>
  <si>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</si>
  <si>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</si>
  <si>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</si>
  <si>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</si>
  <si>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</si>
  <si>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</si>
  <si>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</si>
  <si>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</si>
  <si>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</si>
  <si>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</si>
  <si>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</si>
  <si>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</si>
  <si>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</si>
  <si>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</si>
  <si>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</si>
  <si>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</si>
  <si>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</si>
  <si>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</si>
  <si>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</si>
  <si>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</si>
  <si>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</si>
  <si>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</si>
  <si>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</si>
  <si>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</si>
  <si>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</si>
  <si>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</si>
  <si>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</si>
  <si>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</si>
  <si>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</si>
  <si>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</si>
  <si>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</si>
  <si>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</si>
  <si>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</si>
  <si>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</si>
  <si>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</si>
  <si>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</si>
  <si>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</si>
  <si>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</si>
  <si>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</si>
  <si>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</si>
  <si>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</si>
  <si>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</si>
  <si>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</si>
  <si>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</si>
  <si>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</si>
  <si>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</si>
  <si>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</si>
  <si>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</si>
  <si>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</si>
  <si>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</si>
  <si>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</si>
  <si>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</si>
  <si>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</si>
  <si>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</si>
  <si>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</si>
  <si>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</si>
  <si>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</si>
  <si>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</si>
  <si>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</si>
  <si>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</si>
  <si>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</si>
  <si>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</si>
  <si>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</si>
  <si>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</si>
  <si>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</si>
  <si>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</si>
  <si>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</si>
  <si>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</si>
  <si>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</si>
  <si>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</si>
  <si>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</si>
  <si>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</si>
  <si>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</si>
  <si>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</si>
  <si>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</si>
  <si>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</si>
  <si>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</si>
  <si>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</si>
  <si>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</si>
  <si>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</si>
  <si>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</si>
  <si>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</si>
  <si>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</si>
  <si>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</si>
  <si>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</si>
  <si>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</si>
  <si>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</si>
  <si>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</si>
  <si>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</si>
  <si>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</si>
  <si>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</si>
  <si>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</si>
  <si>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</si>
  <si>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</si>
  <si>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</si>
  <si>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</si>
  <si>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</si>
  <si>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</si>
  <si>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</si>
  <si>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</si>
  <si>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</si>
  <si>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</si>
  <si>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</si>
  <si>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</si>
  <si>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</si>
  <si>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</si>
  <si>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</si>
  <si>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</si>
  <si>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</si>
  <si>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</si>
  <si>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</si>
  <si>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</si>
  <si>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</si>
  <si>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</si>
  <si>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</si>
  <si>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</si>
  <si>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</si>
  <si>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</si>
  <si>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</si>
  <si>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</si>
  <si>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</si>
  <si>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</si>
  <si>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</si>
  <si>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</si>
  <si>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</si>
  <si>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</si>
  <si>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</si>
  <si>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</si>
  <si>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</si>
  <si>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</si>
  <si>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</si>
  <si>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</si>
  <si>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</si>
  <si>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</si>
  <si>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</si>
  <si>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</si>
  <si>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</si>
  <si>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</si>
  <si>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</si>
  <si>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</si>
  <si>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</si>
  <si>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</si>
  <si>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</si>
  <si>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</si>
  <si>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</si>
  <si>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</si>
  <si>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</si>
  <si>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</si>
  <si>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</si>
  <si>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</si>
  <si>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</si>
  <si>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</si>
  <si>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</si>
  <si>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</si>
  <si>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</si>
  <si>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</si>
  <si>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</si>
  <si>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</si>
  <si>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</si>
  <si>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</si>
  <si>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</si>
  <si>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</si>
  <si>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</si>
  <si>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</si>
  <si>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</si>
  <si>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</si>
  <si>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</si>
  <si>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</si>
  <si>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</si>
  <si>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</si>
  <si>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</si>
  <si>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</si>
  <si>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</si>
  <si>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</si>
  <si>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</si>
  <si>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</si>
  <si>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</si>
  <si>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</si>
  <si>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</si>
  <si>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</si>
  <si>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</si>
  <si>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</si>
  <si>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</si>
  <si>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</si>
  <si>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</si>
  <si>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</si>
  <si>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</si>
  <si>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</si>
  <si>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</si>
  <si>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</si>
  <si>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</si>
  <si>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</si>
  <si>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</si>
  <si>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</si>
  <si>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</si>
  <si>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</si>
  <si>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</si>
  <si>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</si>
  <si>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</si>
  <si>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</si>
  <si>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</si>
  <si>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</si>
  <si>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</si>
  <si>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</si>
  <si>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</si>
  <si>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</si>
  <si>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</si>
  <si>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</si>
  <si>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</si>
  <si>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</si>
  <si>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</si>
  <si>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</si>
  <si>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</si>
  <si>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</si>
  <si>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</si>
  <si>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</si>
  <si>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</si>
  <si>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</si>
  <si>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</si>
  <si>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</si>
  <si>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</si>
  <si>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</si>
  <si>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</si>
  <si>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</si>
  <si>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</si>
  <si>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</si>
  <si>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</si>
  <si>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</si>
  <si>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</si>
  <si>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</si>
  <si>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</si>
  <si>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</si>
  <si>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</si>
  <si>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</si>
  <si>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</si>
  <si>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</si>
  <si>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</si>
  <si>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</si>
  <si>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</si>
  <si>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</si>
  <si>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</si>
  <si>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</si>
  <si>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</si>
  <si>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</si>
  <si>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</si>
  <si>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</si>
  <si>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</si>
  <si>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</si>
  <si>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</si>
  <si>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</si>
  <si>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</si>
  <si>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</si>
  <si>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</si>
  <si>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</si>
  <si>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</si>
  <si>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</si>
  <si>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</si>
  <si>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</si>
  <si>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</si>
  <si>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</si>
  <si>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</si>
  <si>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</si>
  <si>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</si>
  <si>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</si>
  <si>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</si>
  <si>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</si>
  <si>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</si>
  <si>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</si>
  <si>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</si>
  <si>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</si>
  <si>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</si>
  <si>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</si>
  <si>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</si>
  <si>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</si>
  <si>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</si>
  <si>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</si>
  <si>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</si>
  <si>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</si>
  <si>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</si>
  <si>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</si>
  <si>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</si>
  <si>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</si>
  <si>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</si>
  <si>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</si>
  <si>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</si>
  <si>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</si>
  <si>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</si>
  <si>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</si>
  <si>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</si>
  <si>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</si>
  <si>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</si>
  <si>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</si>
  <si>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</si>
  <si>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</si>
  <si>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</si>
  <si>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</si>
  <si>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</si>
  <si>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</si>
  <si>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</si>
  <si>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</si>
  <si>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</si>
  <si>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</si>
  <si>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</si>
  <si>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</si>
  <si>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</si>
  <si>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</si>
  <si>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</si>
  <si>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</si>
  <si>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</si>
  <si>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</si>
  <si>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</si>
  <si>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</si>
  <si>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</si>
  <si>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</si>
  <si>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</si>
  <si>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</si>
  <si>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</si>
  <si>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</si>
  <si>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</si>
  <si>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</si>
  <si>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</si>
  <si>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</si>
  <si>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</si>
  <si>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</si>
  <si>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</si>
  <si>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</si>
  <si>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</si>
  <si>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</si>
  <si>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</si>
  <si>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</si>
  <si>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</si>
  <si>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</si>
  <si>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</si>
  <si>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</si>
  <si>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</si>
  <si>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</si>
  <si>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</si>
  <si>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</si>
  <si>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</si>
  <si>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</si>
  <si>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</si>
  <si>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</si>
  <si>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</si>
  <si>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</si>
  <si>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</si>
  <si>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</si>
  <si>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</si>
  <si>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</si>
  <si>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</si>
  <si>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</si>
  <si>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</si>
  <si>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</si>
  <si>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</si>
  <si>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</si>
  <si>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</si>
  <si>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</si>
  <si>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</si>
  <si>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</si>
  <si>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</si>
  <si>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</si>
  <si>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</si>
  <si>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</si>
  <si>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</si>
  <si>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</si>
  <si>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</si>
  <si>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</si>
  <si>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</si>
  <si>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</si>
  <si>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</si>
  <si>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</si>
  <si>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</si>
  <si>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</si>
  <si>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</si>
  <si>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</si>
  <si>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</si>
  <si>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</si>
  <si>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</si>
  <si>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</si>
  <si>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</si>
  <si>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</si>
  <si>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</si>
  <si>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</si>
  <si>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</si>
  <si>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</si>
  <si>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</si>
  <si>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</si>
  <si>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</si>
  <si>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</si>
  <si>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</si>
  <si>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</si>
  <si>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</si>
  <si>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</si>
  <si>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</si>
  <si>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</si>
  <si>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</si>
  <si>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</si>
  <si>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</si>
  <si>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</si>
  <si>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</si>
  <si>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</si>
  <si>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</si>
  <si>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</si>
  <si>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</si>
  <si>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</si>
  <si>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</si>
  <si>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</si>
  <si>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</si>
  <si>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</si>
  <si>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</si>
  <si>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</si>
  <si>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</si>
  <si>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</si>
  <si>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</si>
  <si>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</si>
  <si>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</si>
  <si>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</si>
  <si>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</si>
  <si>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</si>
  <si>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</si>
  <si>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</si>
  <si>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</si>
  <si>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</si>
  <si>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</si>
  <si>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</si>
  <si>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</si>
  <si>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</si>
  <si>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</si>
  <si>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</si>
  <si>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</si>
  <si>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</si>
  <si>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</si>
  <si>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</si>
  <si>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</si>
  <si>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</si>
  <si>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</si>
  <si>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</si>
  <si>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</si>
  <si>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</si>
  <si>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</si>
  <si>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</si>
  <si>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</si>
  <si>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</si>
  <si>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</si>
  <si>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</si>
  <si>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</si>
  <si>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</si>
  <si>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</si>
  <si>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</si>
  <si>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</si>
  <si>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</si>
  <si>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</si>
  <si>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</si>
  <si>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</si>
  <si>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</si>
  <si>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</si>
  <si>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</si>
  <si>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</si>
  <si>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</si>
  <si>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</si>
  <si>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</si>
  <si>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</si>
  <si>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</si>
  <si>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</si>
  <si>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</si>
  <si>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</si>
  <si>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</si>
  <si>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</si>
  <si>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</si>
  <si>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</si>
  <si>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</si>
  <si>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</si>
  <si>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</si>
  <si>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</si>
  <si>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</si>
  <si>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</si>
  <si>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</si>
  <si>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</si>
  <si>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</si>
  <si>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</si>
  <si>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</si>
  <si>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</si>
  <si>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</si>
  <si>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</si>
  <si>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</si>
  <si>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</si>
  <si>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</si>
  <si>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</si>
  <si>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</si>
  <si>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</si>
  <si>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</si>
  <si>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</si>
  <si>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</si>
  <si>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</si>
  <si>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</si>
  <si>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</si>
  <si>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</si>
  <si>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</si>
  <si>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</si>
  <si>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</si>
  <si>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</si>
  <si>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</si>
  <si>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</si>
  <si>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</si>
  <si>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</si>
  <si>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</si>
  <si>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</si>
  <si>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</si>
  <si>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</si>
  <si>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</si>
  <si>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</si>
  <si>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</si>
  <si>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</si>
  <si>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</si>
  <si>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</si>
  <si>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</si>
  <si>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</si>
  <si>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</si>
  <si>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</si>
  <si>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</si>
  <si>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</si>
  <si>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</si>
  <si>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</si>
  <si>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</si>
  <si>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</si>
  <si>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</si>
  <si>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</si>
  <si>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</si>
  <si>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</si>
  <si>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</si>
  <si>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</si>
  <si>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</si>
  <si>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</si>
  <si>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</si>
  <si>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</si>
  <si>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</si>
  <si>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</si>
  <si>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</si>
  <si>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</si>
  <si>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</si>
  <si>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</si>
  <si>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</si>
  <si>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</si>
  <si>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</si>
  <si>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</si>
  <si>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</si>
  <si>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</si>
  <si>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</si>
  <si>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</si>
  <si>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</si>
  <si>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</si>
  <si>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</si>
  <si>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</si>
  <si>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</si>
  <si>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</si>
  <si>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</si>
  <si>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</si>
  <si>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</si>
  <si>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</si>
  <si>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</si>
  <si>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</si>
  <si>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</si>
  <si>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</si>
  <si>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</si>
  <si>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</si>
  <si>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</si>
  <si>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</si>
  <si>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</si>
  <si>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</si>
  <si>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</si>
  <si>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</si>
  <si>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</si>
  <si>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</si>
  <si>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</si>
  <si>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</si>
  <si>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</si>
  <si>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</si>
  <si>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</si>
  <si>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</si>
  <si>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</si>
  <si>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</si>
  <si>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</si>
  <si>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</si>
  <si>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</si>
  <si>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</si>
  <si>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</si>
  <si>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</si>
  <si>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</si>
  <si>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</si>
  <si>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</si>
  <si>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</si>
  <si>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</si>
  <si>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</si>
  <si>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</si>
  <si>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</si>
  <si>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</si>
  <si>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</si>
  <si>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</si>
  <si>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</si>
  <si>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</si>
  <si>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</si>
  <si>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</si>
  <si>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</si>
  <si>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</si>
  <si>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</si>
  <si>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</si>
  <si>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</si>
  <si>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</si>
  <si>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</si>
  <si>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</si>
  <si>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</si>
  <si>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</si>
  <si>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</si>
  <si>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</si>
  <si>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</si>
  <si>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</si>
  <si>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</si>
  <si>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</si>
  <si>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</si>
  <si>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</si>
  <si>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</si>
  <si>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</si>
  <si>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</si>
  <si>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</si>
  <si>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</si>
  <si>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</si>
  <si>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</si>
  <si>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</si>
  <si>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</si>
  <si>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</si>
  <si>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</si>
  <si>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</si>
  <si>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</si>
  <si>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</si>
  <si>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</si>
  <si>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</si>
  <si>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</si>
  <si>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</si>
  <si>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</si>
  <si>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</si>
  <si>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</si>
  <si>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</si>
  <si>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</si>
  <si>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</si>
  <si>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</si>
  <si>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</si>
  <si>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</si>
  <si>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</si>
  <si>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</si>
  <si>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</si>
  <si>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</si>
  <si>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</si>
  <si>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</si>
  <si>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</si>
  <si>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</si>
  <si>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</si>
  <si>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</si>
  <si>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</si>
  <si>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</si>
  <si>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</si>
  <si>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</si>
  <si>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</si>
  <si>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</si>
  <si>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</si>
  <si>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</si>
  <si>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</si>
  <si>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</si>
  <si>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</si>
  <si>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</si>
  <si>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</si>
  <si>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</si>
  <si>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</si>
  <si>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</si>
  <si>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</si>
  <si>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</si>
  <si>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</si>
  <si>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</si>
  <si>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</si>
  <si>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</si>
  <si>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</si>
  <si>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</si>
  <si>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</si>
  <si>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</si>
  <si>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</si>
  <si>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</si>
  <si>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</si>
  <si>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</si>
  <si>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</si>
  <si>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</si>
  <si>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</si>
  <si>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</si>
  <si>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</si>
  <si>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</si>
  <si>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</si>
  <si>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</si>
  <si>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</si>
  <si>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</si>
  <si>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</si>
  <si>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</si>
  <si>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</si>
  <si>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</si>
  <si>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</si>
  <si>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</si>
  <si>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</si>
  <si>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</si>
  <si>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</si>
  <si>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</si>
  <si>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</si>
  <si>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</si>
  <si>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</si>
  <si>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</si>
  <si>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</si>
  <si>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</si>
  <si>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</si>
  <si>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</si>
  <si>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</si>
  <si>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</si>
  <si>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</si>
  <si>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</si>
  <si>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</si>
  <si>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</si>
  <si>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</si>
  <si>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</si>
  <si>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</si>
  <si>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</si>
  <si>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</si>
  <si>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</si>
  <si>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</si>
  <si>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</si>
  <si>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</si>
  <si>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</si>
  <si>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</si>
  <si>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</si>
  <si>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</si>
  <si>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</si>
  <si>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</si>
  <si>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</si>
  <si>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</si>
  <si>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</si>
  <si>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</si>
  <si>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</si>
  <si>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</si>
  <si>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</si>
  <si>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</si>
  <si>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</si>
  <si>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</si>
  <si>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</si>
  <si>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</si>
  <si>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</si>
  <si>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</si>
  <si>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</si>
  <si>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</si>
  <si>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</si>
  <si>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</si>
  <si>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</si>
  <si>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</si>
  <si>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</si>
  <si>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</si>
  <si>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</si>
  <si>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</si>
  <si>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</si>
  <si>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</si>
  <si>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</si>
  <si>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</si>
  <si>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</si>
  <si>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</si>
  <si>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</si>
  <si>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</si>
  <si>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</si>
  <si>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</si>
  <si>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</si>
  <si>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</si>
  <si>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</si>
  <si>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</si>
  <si>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</si>
  <si>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</si>
  <si>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</si>
  <si>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</si>
  <si>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</si>
  <si>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</si>
  <si>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</si>
  <si>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</si>
  <si>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</si>
  <si>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</si>
  <si>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</si>
  <si>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</si>
  <si>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</si>
  <si>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</si>
  <si>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</si>
  <si>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</si>
  <si>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</si>
  <si>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</si>
  <si>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</si>
  <si>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</si>
  <si>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</si>
  <si>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</si>
  <si>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</si>
  <si>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</si>
  <si>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</si>
  <si>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</si>
  <si>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</si>
  <si>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</si>
  <si>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</si>
  <si>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</si>
  <si>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</si>
  <si>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</si>
  <si>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</si>
  <si>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</si>
  <si>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</si>
  <si>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</si>
  <si>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</si>
  <si>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</si>
  <si>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</si>
  <si>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</si>
  <si>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</si>
  <si>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</si>
  <si>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</si>
  <si>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</si>
  <si>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</si>
  <si>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</si>
  <si>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</si>
  <si>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</si>
  <si>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</si>
  <si>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</si>
  <si>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</si>
  <si>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</si>
  <si>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</si>
  <si>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</si>
  <si>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</si>
  <si>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</si>
  <si>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</si>
  <si>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</si>
  <si>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</si>
  <si>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</si>
  <si>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</si>
  <si>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</si>
  <si>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</si>
  <si>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</si>
  <si>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</si>
  <si>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</si>
  <si>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</si>
  <si>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</si>
  <si>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</si>
  <si>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</si>
  <si>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</si>
  <si>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</si>
  <si>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</si>
  <si>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</si>
  <si>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</si>
  <si>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</si>
  <si>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</si>
  <si>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</si>
  <si>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</si>
  <si>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</si>
  <si>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</si>
  <si>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</si>
  <si>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</si>
  <si>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</si>
  <si>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</si>
  <si>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</si>
  <si>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</si>
  <si>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</si>
  <si>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</si>
  <si>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</si>
  <si>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</si>
  <si>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</si>
  <si>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</si>
  <si>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</si>
  <si>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</si>
  <si>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</si>
  <si>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</si>
  <si>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</si>
  <si>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</si>
  <si>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</si>
  <si>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</si>
  <si>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</si>
  <si>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</si>
  <si>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</si>
  <si>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</si>
  <si>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</si>
  <si>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</si>
  <si>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</si>
  <si>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</si>
  <si>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</si>
  <si>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</si>
  <si>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</si>
  <si>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</si>
  <si>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</si>
  <si>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</si>
  <si>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</si>
  <si>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</si>
  <si>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</si>
  <si>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</si>
  <si>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</si>
  <si>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</si>
  <si>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</si>
  <si>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</si>
  <si>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</si>
  <si>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</si>
  <si>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</si>
  <si>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</si>
  <si>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</si>
  <si>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</si>
  <si>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</si>
  <si>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</si>
  <si>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</si>
  <si>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</si>
  <si>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</si>
  <si>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</si>
  <si>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</si>
  <si>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</si>
  <si>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</si>
  <si>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</si>
  <si>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</si>
  <si>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</si>
  <si>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</si>
  <si>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</si>
  <si>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</si>
  <si>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</si>
  <si>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</si>
  <si>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</si>
  <si>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</si>
  <si>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</si>
  <si>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</si>
  <si>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</si>
  <si>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</si>
  <si>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</si>
  <si>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</si>
  <si>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</si>
  <si>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</si>
  <si>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</si>
  <si>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</si>
  <si>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</si>
  <si>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</si>
  <si>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</si>
  <si>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</si>
  <si>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</si>
  <si>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</si>
  <si>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</si>
  <si>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</si>
  <si>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</si>
  <si>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</si>
  <si>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</si>
  <si>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</si>
  <si>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</si>
  <si>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</si>
  <si>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</si>
  <si>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</si>
  <si>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</si>
  <si>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</si>
  <si>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</si>
  <si>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</si>
  <si>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</si>
  <si>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</si>
  <si>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</si>
  <si>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</si>
  <si>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</si>
  <si>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</si>
  <si>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</si>
  <si>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</si>
  <si>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</si>
  <si>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</si>
  <si>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</si>
  <si>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</si>
  <si>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</si>
  <si>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</si>
  <si>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</si>
  <si>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</si>
  <si>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</si>
  <si>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</si>
  <si>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</si>
  <si>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</si>
  <si>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</si>
  <si>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</si>
  <si>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</si>
  <si>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</si>
  <si>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</si>
  <si>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</si>
  <si>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</si>
  <si>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</si>
  <si>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</si>
  <si>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</si>
  <si>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</si>
  <si>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</si>
  <si>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</si>
  <si>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</si>
  <si>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</si>
  <si>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</si>
  <si>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</si>
  <si>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</si>
  <si>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</si>
  <si>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</si>
  <si>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</si>
  <si>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</si>
  <si>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</si>
  <si>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</si>
  <si>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</si>
  <si>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</si>
  <si>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</si>
  <si>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</si>
  <si>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</si>
  <si>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</si>
  <si>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</si>
  <si>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</si>
  <si>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</si>
  <si>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</si>
  <si>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</si>
  <si>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</si>
  <si>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</si>
  <si>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</si>
  <si>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</si>
  <si>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</si>
  <si>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</si>
  <si>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</si>
  <si>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</si>
  <si>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</si>
  <si>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</si>
  <si>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</si>
  <si>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</si>
  <si>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</si>
  <si>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</si>
  <si>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</si>
  <si>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</si>
  <si>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</si>
  <si>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</si>
  <si>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</si>
  <si>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</si>
  <si>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</si>
  <si>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</si>
  <si>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</si>
  <si>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</si>
  <si>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</si>
  <si>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</si>
  <si>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</si>
  <si>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</si>
  <si>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</si>
  <si>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</si>
  <si>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</si>
  <si>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</si>
  <si>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</si>
  <si>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</si>
  <si>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</si>
  <si>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</si>
  <si>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</si>
  <si>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</si>
  <si>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</si>
  <si>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</si>
  <si>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</si>
  <si>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</si>
  <si>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</si>
  <si>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</si>
  <si>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</si>
  <si>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</si>
  <si>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</si>
  <si>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</si>
  <si>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</si>
  <si>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</si>
  <si>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</si>
  <si>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</si>
  <si>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</si>
  <si>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</si>
  <si>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</si>
  <si>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</si>
  <si>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</si>
  <si>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</si>
  <si>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</si>
  <si>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</si>
  <si>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</si>
  <si>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</si>
  <si>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</si>
  <si>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</si>
  <si>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</si>
  <si>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</si>
  <si>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</si>
  <si>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</si>
  <si>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</si>
  <si>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</si>
  <si>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</si>
  <si>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</si>
  <si>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</si>
  <si>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</si>
  <si>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</si>
  <si>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</si>
  <si>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</si>
  <si>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</si>
  <si>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</si>
  <si>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</si>
  <si>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</si>
  <si>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</si>
  <si>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</si>
  <si>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</si>
  <si>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</si>
  <si>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</si>
  <si>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</si>
  <si>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</si>
  <si>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</si>
  <si>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</si>
  <si>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</si>
  <si>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</si>
  <si>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</si>
  <si>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</si>
  <si>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</si>
  <si>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</si>
  <si>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</si>
  <si>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</si>
  <si>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</si>
  <si>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</si>
  <si>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</si>
  <si>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</si>
  <si>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</si>
  <si>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</si>
  <si>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</si>
  <si>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</si>
  <si>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</si>
  <si>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</si>
  <si>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</si>
  <si>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</si>
  <si>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</si>
  <si>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</si>
  <si>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</si>
  <si>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</si>
  <si>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</si>
  <si>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</si>
  <si>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</si>
  <si>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</si>
  <si>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</si>
  <si>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</si>
  <si>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</si>
  <si>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</si>
  <si>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</si>
  <si>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</si>
  <si>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</si>
  <si>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</si>
  <si>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</si>
  <si>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</si>
  <si>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</si>
  <si>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</si>
  <si>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</si>
  <si>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</si>
  <si>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</si>
  <si>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</si>
  <si>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</si>
  <si>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</si>
  <si>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</si>
  <si>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</si>
  <si>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</si>
  <si>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</si>
  <si>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</si>
  <si>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</si>
  <si>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</si>
  <si>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</si>
  <si>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</si>
  <si>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</si>
  <si>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</si>
  <si>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</si>
  <si>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</si>
  <si>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</si>
  <si>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</si>
  <si>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</si>
  <si>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</si>
  <si>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</si>
  <si>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</si>
  <si>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</si>
  <si>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</si>
  <si>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</si>
  <si>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</si>
  <si>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</si>
  <si>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</si>
  <si>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</si>
  <si>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</si>
  <si>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</si>
  <si>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</si>
  <si>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</si>
  <si>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</si>
  <si>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</si>
  <si>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</si>
  <si>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</si>
  <si>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</si>
  <si>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</si>
  <si>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</si>
  <si>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</si>
  <si>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</si>
  <si>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</si>
  <si>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</si>
  <si>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</si>
  <si>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</si>
  <si>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</si>
  <si>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</si>
  <si>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</si>
  <si>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</si>
  <si>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</si>
  <si>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</si>
  <si>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</si>
  <si>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</si>
  <si>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</si>
  <si>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</si>
  <si>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</si>
  <si>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</si>
  <si>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</si>
  <si>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</si>
  <si>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</si>
  <si>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</si>
  <si>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</si>
  <si>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</si>
  <si>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</si>
  <si>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</si>
  <si>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</si>
  <si>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</si>
  <si>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</si>
  <si>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</si>
  <si>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</si>
  <si>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</si>
  <si>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</si>
  <si>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</si>
  <si>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</si>
  <si>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</si>
  <si>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</si>
  <si>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</si>
  <si>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</si>
  <si>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</si>
  <si>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</si>
  <si>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</si>
  <si>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</si>
  <si>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</si>
  <si>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</si>
  <si>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</si>
  <si>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</si>
  <si>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</si>
  <si>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</si>
  <si>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</si>
  <si>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</si>
  <si>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</si>
  <si>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</si>
  <si>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</si>
  <si>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</si>
  <si>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</si>
  <si>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</si>
  <si>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</si>
  <si>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</si>
  <si>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</si>
  <si>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</si>
  <si>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</si>
  <si>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</si>
  <si>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</si>
  <si>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</si>
  <si>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</si>
  <si>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</si>
  <si>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</si>
  <si>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</si>
  <si>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</si>
  <si>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</si>
  <si>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</si>
  <si>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</si>
  <si>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</si>
  <si>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</si>
  <si>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</si>
  <si>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</si>
  <si>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</si>
  <si>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</si>
  <si>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</si>
  <si>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</si>
  <si>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</si>
  <si>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</si>
  <si>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</si>
  <si>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</si>
  <si>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</si>
  <si>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</si>
  <si>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</si>
  <si>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</si>
  <si>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</si>
  <si>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</si>
  <si>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</si>
  <si>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</si>
  <si>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</si>
  <si>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</si>
  <si>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</si>
  <si>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</si>
  <si>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</si>
  <si>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</si>
  <si>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</si>
  <si>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</si>
  <si>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</si>
  <si>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</si>
  <si>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</si>
  <si>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</si>
  <si>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</si>
  <si>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</si>
  <si>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</si>
  <si>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</si>
  <si>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</si>
  <si>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</si>
  <si>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</si>
  <si>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</si>
  <si>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</si>
  <si>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</si>
  <si>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</si>
  <si>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</si>
  <si>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</si>
  <si>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</si>
  <si>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</si>
  <si>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</si>
  <si>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</si>
  <si>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</si>
  <si>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</si>
  <si>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</si>
  <si>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</si>
  <si>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</si>
  <si>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</si>
  <si>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</si>
  <si>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</si>
  <si>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</si>
  <si>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</si>
  <si>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</si>
  <si>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</si>
  <si>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</si>
  <si>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</si>
  <si>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</si>
  <si>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</si>
  <si>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</si>
  <si>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</si>
  <si>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</si>
  <si>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</si>
  <si>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</si>
  <si>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</si>
  <si>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</si>
  <si>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</si>
  <si>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</si>
  <si>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</si>
  <si>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</si>
  <si>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</si>
  <si>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</si>
  <si>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</si>
  <si>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</si>
  <si>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</si>
  <si>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</si>
  <si>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</si>
  <si>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</si>
  <si>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</si>
  <si>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</si>
  <si>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</si>
  <si>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</si>
  <si>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</si>
  <si>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</si>
  <si>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</si>
  <si>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</si>
  <si>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</si>
  <si>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</si>
  <si>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</si>
  <si>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</si>
  <si>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</si>
  <si>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</si>
  <si>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</si>
  <si>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</si>
  <si>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</si>
  <si>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</si>
  <si>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</si>
  <si>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</si>
  <si>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</si>
  <si>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</si>
  <si>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</si>
  <si>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</si>
  <si>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</si>
  <si>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</si>
  <si>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</si>
  <si>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</si>
  <si>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</si>
  <si>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</si>
  <si>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</si>
  <si>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</si>
  <si>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</si>
  <si>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</si>
  <si>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</si>
  <si>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</si>
  <si>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</si>
  <si>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</si>
  <si>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</si>
  <si>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</si>
  <si>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</si>
  <si>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</si>
  <si>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</si>
  <si>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</si>
  <si>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</si>
  <si>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</si>
  <si>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</si>
  <si>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</si>
  <si>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</si>
  <si>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</si>
  <si>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</si>
  <si>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</si>
  <si>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</si>
  <si>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</si>
  <si>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</si>
  <si>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</si>
  <si>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</si>
  <si>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</si>
  <si>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</si>
  <si>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</si>
  <si>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</si>
  <si>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</si>
  <si>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</si>
  <si>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</si>
  <si>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</si>
  <si>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</si>
  <si>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</si>
  <si>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</si>
  <si>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</si>
  <si>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</si>
  <si>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</si>
  <si>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</si>
  <si>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</si>
  <si>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</si>
  <si>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</si>
  <si>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</si>
  <si>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</si>
  <si>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</si>
  <si>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</si>
  <si>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</si>
  <si>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</si>
  <si>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</si>
  <si>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</si>
  <si>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</si>
  <si>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</si>
  <si>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</si>
  <si>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</si>
  <si>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</si>
  <si>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</si>
  <si>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</si>
  <si>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</si>
  <si>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</si>
  <si>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</si>
  <si>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</si>
  <si>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</si>
  <si>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</si>
  <si>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</si>
  <si>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</si>
  <si>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</si>
  <si>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</si>
  <si>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</si>
  <si>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</si>
  <si>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</si>
  <si>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</si>
  <si>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</si>
  <si>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</si>
  <si>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</si>
  <si>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</si>
  <si>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</si>
  <si>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</si>
  <si>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</si>
  <si>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</si>
  <si>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</si>
  <si>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</si>
  <si>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</si>
  <si>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</si>
  <si>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</si>
  <si>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</si>
  <si>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</si>
  <si>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</si>
  <si>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</si>
  <si>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</si>
  <si>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</si>
  <si>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</si>
  <si>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</si>
  <si>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</si>
  <si>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</si>
  <si>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</si>
  <si>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</si>
  <si>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</si>
  <si>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</si>
  <si>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</si>
  <si>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</si>
  <si>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</si>
  <si>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</si>
  <si>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</si>
  <si>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</si>
  <si>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</si>
  <si>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</si>
  <si>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</si>
  <si>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</si>
  <si>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</si>
  <si>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</si>
  <si>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</si>
  <si>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</si>
  <si>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</si>
  <si>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</si>
  <si>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</si>
  <si>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</si>
  <si>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</si>
  <si>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</si>
  <si>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</si>
  <si>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</si>
  <si>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</si>
  <si>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</si>
  <si>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</si>
  <si>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</si>
  <si>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</si>
  <si>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</si>
  <si>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</si>
  <si>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</si>
  <si>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</si>
  <si>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</si>
  <si>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</si>
  <si>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</si>
  <si>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</si>
  <si>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</si>
  <si>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</si>
  <si>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</si>
  <si>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</si>
  <si>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</si>
  <si>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</si>
  <si>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</si>
  <si>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</si>
  <si>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</si>
  <si>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</si>
  <si>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</si>
  <si>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</si>
  <si>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</si>
  <si>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</si>
  <si>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</si>
  <si>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</si>
  <si>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</si>
  <si>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</si>
  <si>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</si>
  <si>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</si>
  <si>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</si>
  <si>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</si>
  <si>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</si>
  <si>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</si>
  <si>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</si>
  <si>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</si>
  <si>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</si>
  <si>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</si>
  <si>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</si>
  <si>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</si>
  <si>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</si>
  <si>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</si>
  <si>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</si>
  <si>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</si>
  <si>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</si>
  <si>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</si>
  <si>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</si>
  <si>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</si>
  <si>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</si>
  <si>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</si>
  <si>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</si>
  <si>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</si>
  <si>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</si>
  <si>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</si>
  <si>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</si>
  <si>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</si>
  <si>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</si>
  <si>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</si>
  <si>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</si>
  <si>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</si>
  <si>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</si>
  <si>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</si>
  <si>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</si>
  <si>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</si>
  <si>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</si>
  <si>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</si>
  <si>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</si>
  <si>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</si>
  <si>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</si>
  <si>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</si>
  <si>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</si>
  <si>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</si>
  <si>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</si>
  <si>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</si>
  <si>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</si>
  <si>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</si>
  <si>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</si>
  <si>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</si>
  <si>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</si>
  <si>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</si>
  <si>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</si>
  <si>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</si>
  <si>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</si>
  <si>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</si>
  <si>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</si>
  <si>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</si>
  <si>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</si>
  <si>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</si>
  <si>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</si>
  <si>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</si>
  <si>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</si>
  <si>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</si>
  <si>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</si>
  <si>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</si>
  <si>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</si>
  <si>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</si>
  <si>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</si>
  <si>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</si>
  <si>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</si>
  <si>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</si>
  <si>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</si>
  <si>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</si>
  <si>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</si>
  <si>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</si>
  <si>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</si>
  <si>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</si>
  <si>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</si>
  <si>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</si>
  <si>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</si>
  <si>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</si>
  <si>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</si>
  <si>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</si>
  <si>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</si>
  <si>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</si>
  <si>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</si>
  <si>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</si>
  <si>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</si>
  <si>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</si>
  <si>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</si>
  <si>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</si>
  <si>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</si>
  <si>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</si>
  <si>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</si>
  <si>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</si>
  <si>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</si>
  <si>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</si>
  <si>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</si>
  <si>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</si>
  <si>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</si>
  <si>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</si>
  <si>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</si>
  <si>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</si>
  <si>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</si>
  <si>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</si>
  <si>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</si>
  <si>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</si>
  <si>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</si>
  <si>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</si>
  <si>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</si>
  <si>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</si>
  <si>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</si>
  <si>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</si>
  <si>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</si>
  <si>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</si>
  <si>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</si>
  <si>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</si>
  <si>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</si>
  <si>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</si>
  <si>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</si>
  <si>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</si>
  <si>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</si>
  <si>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</si>
  <si>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</si>
  <si>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</si>
  <si>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</si>
  <si>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</si>
  <si>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</si>
  <si>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</si>
  <si>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</si>
  <si>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</si>
  <si>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</si>
  <si>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</si>
  <si>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</si>
  <si>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</si>
  <si>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</si>
  <si>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</si>
  <si>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</si>
  <si>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</si>
  <si>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</si>
  <si>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</si>
  <si>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</si>
  <si>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</si>
  <si>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</si>
  <si>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</si>
  <si>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</si>
  <si>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</si>
  <si>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</si>
  <si>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</si>
  <si>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</si>
  <si>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</si>
  <si>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</si>
  <si>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</si>
  <si>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</si>
  <si>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</si>
  <si>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</si>
  <si>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</si>
  <si>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</si>
  <si>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</si>
  <si>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</si>
  <si>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</si>
  <si>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</si>
  <si>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</si>
  <si>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</si>
  <si>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</si>
  <si>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</si>
  <si>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</si>
  <si>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</si>
  <si>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</si>
  <si>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</si>
  <si>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</si>
  <si>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</si>
  <si>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</si>
  <si>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</si>
  <si>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</si>
  <si>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</si>
  <si>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</si>
  <si>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</si>
  <si>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</si>
  <si>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</si>
  <si>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</si>
  <si>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</si>
  <si>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</si>
  <si>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</si>
  <si>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</si>
  <si>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</si>
  <si>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</si>
  <si>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</si>
  <si>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</si>
  <si>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</si>
  <si>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</si>
  <si>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</si>
  <si>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</si>
  <si>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</si>
  <si>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</si>
  <si>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</si>
  <si>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</si>
  <si>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</si>
  <si>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</si>
  <si>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</si>
  <si>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</si>
  <si>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</si>
  <si>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</si>
  <si>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</si>
  <si>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</si>
  <si>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</si>
  <si>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</si>
  <si>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</si>
  <si>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</si>
  <si>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</si>
  <si>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</si>
  <si>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</si>
  <si>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</si>
  <si>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</si>
  <si>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</si>
  <si>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</si>
  <si>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</si>
  <si>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</si>
  <si>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</si>
  <si>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</si>
  <si>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</si>
  <si>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</si>
  <si>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</si>
  <si>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</si>
  <si>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</si>
  <si>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</si>
  <si>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</si>
  <si>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</si>
  <si>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</si>
  <si>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</si>
  <si>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</si>
  <si>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</si>
  <si>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</si>
  <si>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</si>
  <si>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</si>
  <si>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</si>
  <si>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</si>
  <si>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</si>
  <si>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</si>
  <si>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</si>
  <si>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</si>
  <si>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</si>
  <si>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</si>
  <si>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</si>
  <si>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</si>
  <si>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</si>
  <si>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</si>
  <si>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</si>
  <si>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</si>
  <si>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</si>
  <si>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</si>
  <si>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</si>
  <si>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</si>
  <si>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</si>
  <si>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</si>
  <si>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</si>
  <si>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</si>
  <si>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</si>
  <si>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</si>
  <si>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</si>
  <si>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</si>
  <si>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</si>
  <si>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</si>
  <si>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</si>
  <si>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</si>
  <si>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</si>
  <si>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</si>
  <si>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</si>
  <si>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</si>
  <si>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</si>
  <si>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</si>
  <si>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</si>
  <si>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</si>
  <si>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</si>
  <si>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</si>
  <si>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</si>
  <si>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</si>
  <si>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</si>
  <si>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</si>
  <si>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</si>
  <si>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</si>
  <si>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</si>
  <si>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</si>
  <si>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</si>
  <si>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</si>
  <si>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</si>
  <si>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</si>
  <si>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</si>
  <si>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</si>
  <si>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</si>
  <si>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</si>
  <si>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</si>
  <si>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</si>
  <si>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</si>
  <si>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</si>
  <si>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</si>
  <si>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</si>
  <si>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</si>
  <si>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</si>
  <si>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</si>
  <si>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</si>
  <si>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</si>
  <si>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</si>
  <si>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</si>
  <si>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</si>
  <si>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</si>
  <si>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</si>
  <si>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</si>
  <si>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</si>
  <si>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</si>
  <si>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</si>
  <si>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</si>
  <si>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</si>
  <si>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</si>
  <si>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</si>
  <si>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</si>
  <si>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</si>
  <si>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</si>
  <si>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</si>
  <si>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</si>
  <si>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</si>
  <si>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</si>
  <si>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</si>
  <si>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</si>
  <si>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</si>
  <si>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</si>
  <si>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</si>
  <si>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</si>
  <si>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</si>
  <si>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</si>
  <si>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</si>
  <si>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</si>
  <si>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</si>
  <si>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</si>
  <si>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</si>
  <si>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</si>
  <si>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</si>
  <si>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</si>
  <si>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</si>
  <si>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</si>
  <si>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</si>
  <si>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</si>
  <si>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</si>
  <si>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</si>
  <si>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</si>
  <si>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</si>
  <si>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</si>
  <si>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</si>
  <si>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</si>
  <si>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</si>
  <si>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</si>
  <si>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</si>
  <si>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</si>
  <si>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</si>
  <si>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</si>
  <si>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</si>
  <si>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</si>
  <si>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</si>
  <si>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</si>
  <si>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</si>
  <si>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</si>
  <si>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</si>
  <si>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</si>
  <si>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</si>
  <si>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</si>
  <si>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</si>
  <si>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</si>
  <si>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</si>
  <si>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</si>
  <si>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</si>
  <si>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</si>
  <si>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</si>
  <si>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</si>
  <si>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</si>
  <si>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</si>
  <si>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</si>
  <si>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</si>
  <si>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</si>
  <si>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</si>
  <si>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</si>
  <si>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</si>
  <si>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</si>
  <si>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</si>
  <si>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</si>
  <si>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</si>
  <si>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</si>
  <si>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</si>
  <si>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</si>
  <si>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</si>
  <si>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</si>
  <si>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</si>
  <si>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</si>
  <si>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</si>
  <si>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</si>
  <si>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</si>
  <si>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</si>
  <si>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</si>
  <si>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</si>
  <si>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</si>
  <si>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</si>
  <si>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</si>
  <si>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</si>
  <si>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</si>
  <si>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</si>
  <si>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</si>
  <si>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</si>
  <si>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</si>
  <si>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</si>
  <si>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</si>
  <si>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</si>
  <si>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</si>
  <si>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</si>
  <si>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</si>
  <si>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</si>
  <si>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</si>
  <si>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</si>
  <si>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</si>
  <si>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</si>
  <si>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</si>
  <si>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</si>
  <si>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</si>
  <si>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</si>
  <si>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</si>
  <si>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</si>
  <si>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</si>
  <si>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</si>
  <si>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</si>
  <si>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</si>
  <si>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</si>
  <si>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</si>
  <si>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</si>
  <si>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</si>
  <si>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</si>
  <si>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</si>
  <si>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</si>
  <si>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</si>
  <si>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</si>
  <si>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</si>
  <si>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</si>
  <si>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</si>
  <si>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</si>
  <si>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</si>
  <si>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</si>
  <si>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</si>
  <si>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</si>
  <si>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</si>
  <si>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</si>
  <si>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</si>
  <si>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</si>
  <si>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</si>
  <si>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</si>
  <si>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</si>
  <si>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</si>
  <si>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</si>
  <si>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</si>
  <si>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</si>
  <si>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</si>
  <si>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</si>
  <si>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</si>
  <si>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</si>
  <si>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</si>
  <si>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</si>
  <si>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</si>
  <si>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</si>
  <si>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</si>
  <si>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</si>
  <si>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</si>
  <si>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</si>
  <si>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</si>
  <si>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</si>
  <si>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</si>
  <si>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</si>
  <si>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</si>
  <si>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</si>
  <si>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</si>
  <si>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</si>
  <si>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</si>
  <si>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</si>
  <si>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</si>
  <si>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</si>
  <si>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</si>
  <si>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</si>
  <si>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</si>
  <si>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</si>
  <si>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</si>
  <si>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</si>
  <si>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</si>
  <si>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</si>
  <si>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</si>
  <si>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</si>
  <si>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</si>
  <si>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</si>
  <si>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</si>
  <si>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</si>
  <si>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</si>
  <si>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</si>
  <si>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</si>
  <si>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</si>
  <si>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</si>
  <si>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</si>
  <si>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</si>
  <si>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</si>
  <si>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</si>
  <si>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</si>
  <si>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</si>
  <si>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</si>
  <si>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</si>
  <si>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</si>
  <si>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</si>
  <si>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</si>
  <si>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</si>
  <si>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</si>
  <si>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</si>
  <si>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</si>
  <si>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</si>
  <si>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</si>
  <si>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</si>
  <si>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</si>
  <si>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</si>
  <si>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</si>
  <si>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</si>
  <si>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</si>
  <si>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</si>
  <si>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</si>
  <si>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</si>
  <si>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</si>
  <si>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</si>
  <si>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</si>
  <si>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</si>
  <si>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</si>
  <si>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</si>
  <si>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</si>
  <si>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</si>
  <si>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</si>
  <si>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</si>
  <si>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</si>
  <si>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</si>
  <si>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</si>
  <si>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</si>
  <si>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</si>
  <si>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</si>
  <si>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</si>
  <si>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</si>
  <si>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</si>
  <si>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</si>
  <si>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</si>
  <si>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</si>
  <si>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</si>
  <si>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</si>
  <si>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</si>
  <si>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</si>
  <si>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</si>
  <si>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</si>
  <si>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</si>
  <si>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</si>
  <si>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</si>
  <si>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</si>
  <si>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</si>
  <si>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</si>
  <si>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</si>
  <si>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</si>
  <si>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</si>
  <si>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</si>
  <si>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</si>
  <si>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</si>
  <si>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</si>
  <si>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</si>
  <si>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</si>
  <si>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</si>
  <si>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</si>
  <si>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</si>
  <si>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</si>
  <si>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</si>
  <si>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</si>
  <si>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</si>
  <si>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</si>
  <si>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</si>
  <si>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</si>
  <si>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</si>
  <si>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</si>
  <si>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</si>
  <si>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</si>
  <si>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</si>
  <si>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</si>
  <si>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</si>
  <si>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</si>
  <si>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</si>
  <si>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</si>
  <si>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</si>
  <si>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</si>
  <si>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</si>
  <si>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</si>
  <si>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</si>
  <si>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</si>
  <si>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</si>
  <si>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</si>
  <si>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</si>
  <si>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</si>
  <si>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</si>
  <si>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</si>
  <si>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</si>
  <si>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</si>
  <si>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</si>
  <si>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</si>
  <si>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</si>
  <si>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</si>
  <si>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</si>
  <si>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</si>
  <si>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</si>
  <si>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</si>
  <si>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</si>
  <si>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</si>
  <si>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</si>
  <si>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</si>
  <si>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</si>
  <si>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</si>
  <si>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</si>
  <si>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</si>
  <si>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</si>
  <si>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</si>
  <si>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</si>
  <si>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</si>
  <si>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</si>
  <si>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</si>
  <si>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</si>
  <si>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</si>
  <si>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</si>
  <si>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</si>
  <si>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</si>
  <si>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</si>
  <si>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</si>
  <si>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</si>
  <si>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</si>
  <si>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</si>
  <si>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</si>
  <si>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</si>
  <si>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</si>
  <si>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</si>
  <si>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</si>
  <si>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</si>
  <si>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</si>
  <si>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</si>
  <si>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</si>
  <si>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</si>
  <si>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</si>
  <si>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</si>
  <si>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</si>
  <si>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</si>
  <si>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</si>
  <si>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</si>
  <si>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</si>
  <si>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</si>
  <si>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</si>
  <si>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</si>
  <si>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</si>
  <si>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</si>
  <si>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</si>
  <si>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</si>
  <si>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</si>
  <si>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</si>
  <si>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</si>
  <si>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</si>
  <si>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</si>
  <si>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</si>
  <si>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</si>
  <si>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</si>
  <si>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</si>
  <si>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</si>
  <si>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</si>
  <si>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</si>
  <si>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</si>
  <si>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</si>
  <si>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</si>
  <si>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</si>
  <si>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</si>
  <si>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</si>
  <si>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</si>
  <si>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</si>
  <si>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</si>
  <si>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</si>
  <si>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</si>
  <si>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</si>
  <si>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</si>
  <si>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</si>
  <si>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</si>
  <si>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</si>
  <si>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</si>
  <si>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</si>
  <si>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</si>
  <si>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</si>
  <si>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</si>
  <si>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</si>
  <si>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</si>
  <si>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</si>
  <si>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</si>
  <si>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</si>
  <si>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</si>
  <si>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</si>
  <si>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</si>
  <si>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</si>
  <si>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</si>
  <si>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</si>
  <si>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</si>
  <si>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</si>
  <si>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</si>
  <si>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</si>
  <si>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</si>
  <si>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</si>
  <si>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</si>
  <si>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</si>
  <si>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</si>
  <si>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</si>
  <si>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</si>
  <si>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</si>
  <si>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</si>
  <si>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</si>
  <si>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</si>
  <si>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</si>
  <si>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</si>
  <si>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</si>
  <si>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</si>
  <si>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</si>
  <si>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</si>
  <si>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</si>
  <si>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</si>
  <si>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</si>
  <si>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</si>
  <si>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</si>
  <si>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</si>
  <si>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</si>
  <si>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</si>
  <si>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</si>
  <si>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</si>
  <si>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</si>
  <si>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</si>
  <si>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</si>
  <si>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</si>
  <si>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</si>
  <si>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</si>
  <si>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</si>
  <si>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</si>
  <si>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</si>
  <si>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</si>
  <si>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</si>
  <si>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</si>
  <si>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</si>
  <si>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</si>
  <si>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</si>
  <si>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</si>
  <si>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</si>
  <si>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</si>
  <si>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</si>
  <si>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</si>
  <si>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</si>
  <si>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</si>
  <si>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</si>
  <si>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</si>
  <si>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</si>
  <si>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</si>
  <si>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</si>
  <si>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</si>
  <si>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</si>
  <si>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</si>
  <si>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</si>
  <si>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</si>
  <si>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</si>
  <si>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</si>
  <si>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</si>
  <si>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</si>
  <si>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</si>
  <si>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</si>
  <si>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</si>
  <si>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</si>
  <si>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</si>
  <si>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</si>
  <si>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</si>
  <si>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</si>
  <si>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</si>
  <si>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</si>
  <si>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</si>
  <si>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</si>
  <si>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</si>
  <si>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</si>
  <si>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</si>
  <si>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</si>
  <si>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</si>
  <si>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</si>
  <si>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</si>
  <si>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</si>
  <si>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</si>
  <si>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</si>
  <si>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</si>
  <si>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</si>
  <si>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</si>
  <si>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</si>
  <si>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</si>
  <si>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</si>
  <si>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</si>
  <si>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</si>
  <si>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</si>
  <si>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</si>
  <si>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</si>
  <si>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</si>
  <si>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</si>
  <si>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</si>
  <si>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</si>
  <si>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</si>
  <si>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</si>
  <si>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</si>
  <si>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</si>
  <si>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</si>
  <si>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</si>
  <si>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</si>
  <si>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</si>
  <si>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</si>
  <si>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</si>
  <si>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</si>
  <si>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</si>
  <si>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</si>
  <si>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</si>
  <si>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</si>
  <si>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</si>
  <si>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</si>
  <si>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</si>
  <si>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</si>
  <si>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</si>
  <si>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</si>
  <si>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</si>
  <si>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</si>
  <si>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</si>
  <si>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</si>
  <si>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</si>
  <si>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</si>
  <si>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</si>
  <si>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</si>
  <si>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</si>
  <si>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</si>
  <si>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</si>
  <si>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</si>
  <si>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</si>
  <si>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</si>
  <si>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</si>
  <si>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</si>
  <si>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</si>
  <si>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</si>
  <si>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</si>
  <si>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</si>
  <si>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</si>
  <si>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</si>
  <si>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</si>
  <si>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</si>
  <si>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</si>
  <si>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</si>
  <si>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</si>
  <si>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</si>
  <si>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</si>
  <si>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</si>
  <si>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</si>
  <si>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</si>
  <si>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</si>
  <si>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</si>
  <si>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</si>
  <si>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</si>
  <si>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</si>
  <si>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</si>
  <si>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</si>
  <si>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</si>
  <si>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</si>
  <si>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</si>
  <si>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</si>
  <si>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</si>
  <si>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</si>
  <si>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</si>
  <si>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</si>
  <si>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</si>
  <si>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</si>
  <si>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</si>
  <si>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</si>
  <si>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</si>
  <si>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</si>
  <si>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</si>
  <si>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</si>
  <si>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</si>
  <si>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</si>
  <si>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</si>
  <si>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</si>
  <si>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</si>
  <si>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</si>
  <si>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</si>
  <si>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</si>
  <si>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</si>
  <si>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</si>
  <si>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</si>
  <si>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</si>
  <si>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</si>
  <si>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</si>
  <si>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</si>
  <si>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</si>
  <si>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</si>
  <si>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</si>
  <si>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</si>
  <si>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</si>
  <si>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</si>
  <si>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</si>
  <si>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</si>
  <si>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</si>
  <si>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</si>
  <si>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</si>
  <si>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</si>
  <si>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</si>
  <si>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</si>
  <si>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</si>
  <si>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</si>
  <si>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</si>
  <si>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</si>
  <si>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</si>
  <si>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</si>
  <si>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</si>
  <si>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</si>
  <si>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</si>
  <si>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</si>
  <si>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</si>
  <si>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</si>
  <si>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</si>
  <si>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</si>
  <si>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</si>
  <si>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</si>
  <si>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</si>
  <si>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</si>
  <si>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</si>
  <si>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</si>
  <si>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</si>
  <si>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</si>
  <si>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</si>
  <si>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</si>
  <si>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</si>
  <si>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</si>
  <si>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</si>
  <si>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</si>
  <si>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</si>
  <si>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</si>
  <si>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</si>
  <si>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</si>
  <si>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</si>
  <si>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</si>
  <si>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</si>
  <si>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</si>
  <si>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</si>
  <si>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</si>
  <si>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</si>
  <si>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</si>
  <si>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</si>
  <si>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</si>
  <si>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</si>
  <si>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</si>
  <si>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</si>
  <si>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</si>
  <si>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</si>
  <si>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</si>
  <si>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</si>
  <si>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</si>
  <si>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</si>
  <si>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</si>
  <si>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</si>
  <si>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</si>
  <si>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</si>
  <si>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</si>
  <si>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</si>
  <si>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</si>
  <si>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</si>
  <si>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</si>
  <si>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</si>
  <si>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</si>
  <si>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</si>
  <si>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</si>
  <si>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</si>
  <si>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</si>
  <si>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</si>
  <si>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</si>
  <si>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</si>
  <si>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</si>
  <si>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</si>
  <si>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</si>
  <si>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</si>
  <si>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</si>
  <si>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</si>
  <si>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</si>
  <si>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</si>
  <si>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</si>
  <si>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</si>
  <si>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</si>
  <si>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</si>
  <si>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</si>
  <si>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</si>
  <si>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</si>
  <si>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</si>
  <si>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</si>
  <si>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</si>
  <si>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</si>
  <si>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</si>
  <si>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</si>
  <si>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</si>
  <si>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</si>
  <si>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</si>
  <si>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</si>
  <si>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</si>
  <si>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</si>
  <si>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</si>
  <si>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</si>
  <si>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</si>
  <si>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</si>
  <si>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</si>
  <si>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</si>
  <si>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</si>
  <si>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</si>
  <si>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</si>
  <si>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</si>
  <si>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</si>
  <si>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</si>
  <si>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</si>
  <si>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</si>
  <si>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</si>
  <si>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</si>
  <si>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</si>
  <si>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</si>
  <si>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</si>
  <si>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</si>
  <si>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</si>
  <si>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</si>
  <si>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</si>
  <si>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</si>
  <si>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</si>
  <si>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</si>
  <si>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</si>
  <si>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</si>
  <si>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</si>
  <si>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</si>
  <si>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</si>
  <si>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</si>
  <si>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</si>
  <si>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</si>
  <si>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</si>
  <si>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</si>
  <si>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</si>
  <si>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</si>
  <si>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</si>
  <si>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</si>
  <si>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</si>
  <si>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</si>
  <si>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</si>
  <si>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</si>
  <si>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</si>
  <si>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</si>
  <si>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</si>
  <si>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</si>
  <si>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</si>
  <si>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</si>
  <si>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</si>
  <si>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</si>
  <si>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</si>
  <si>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</si>
  <si>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</si>
  <si>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</si>
  <si>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</si>
  <si>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</si>
  <si>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</si>
  <si>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</si>
  <si>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</si>
  <si>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</si>
  <si>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</si>
  <si>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</si>
  <si>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</si>
  <si>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</si>
  <si>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</si>
  <si>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</si>
  <si>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</si>
  <si>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</si>
  <si>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</si>
  <si>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</si>
  <si>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</si>
  <si>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</si>
  <si>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</si>
  <si>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</si>
  <si>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</si>
  <si>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</si>
  <si>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</si>
  <si>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</si>
  <si>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</si>
  <si>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</si>
  <si>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</si>
  <si>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</si>
  <si>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</si>
  <si>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</si>
  <si>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</si>
  <si>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</si>
  <si>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</si>
  <si>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</si>
  <si>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</si>
  <si>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</si>
  <si>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</si>
  <si>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</si>
  <si>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</si>
  <si>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</si>
  <si>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</si>
  <si>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</si>
  <si>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</si>
  <si>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</si>
  <si>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</si>
  <si>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</si>
  <si>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</si>
  <si>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</si>
  <si>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</si>
  <si>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</si>
  <si>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</si>
  <si>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</si>
  <si>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</si>
  <si>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</si>
  <si>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</si>
  <si>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</si>
  <si>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</si>
  <si>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</si>
  <si>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</si>
  <si>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</si>
  <si>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</si>
  <si>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</si>
  <si>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</si>
  <si>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</si>
  <si>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</si>
  <si>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</si>
  <si>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</si>
  <si>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</si>
  <si>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</si>
  <si>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</si>
  <si>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</si>
  <si>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</si>
  <si>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</si>
  <si>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</si>
  <si>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</si>
  <si>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</si>
  <si>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</si>
  <si>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</si>
  <si>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</si>
  <si>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</si>
  <si>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</si>
  <si>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</si>
  <si>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</si>
  <si>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</si>
  <si>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</si>
  <si>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</si>
  <si>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</si>
  <si>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</si>
  <si>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</si>
  <si>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</si>
  <si>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</si>
  <si>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</si>
  <si>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</si>
  <si>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</si>
  <si>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</si>
  <si>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</si>
  <si>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</si>
  <si>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</si>
  <si>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</si>
  <si>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</si>
  <si>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</si>
  <si>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</si>
  <si>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</si>
  <si>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</si>
  <si>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</si>
  <si>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</si>
  <si>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</si>
  <si>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</si>
  <si>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</si>
  <si>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</si>
  <si>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</si>
  <si>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</si>
  <si>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</si>
  <si>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</si>
  <si>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</si>
  <si>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</si>
  <si>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</si>
  <si>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</si>
  <si>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</si>
  <si>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</si>
  <si>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</si>
  <si>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</si>
  <si>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</si>
  <si>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</si>
  <si>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</si>
  <si>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</si>
  <si>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</si>
  <si>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</si>
  <si>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</si>
  <si>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</si>
  <si>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</si>
  <si>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</si>
  <si>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</si>
  <si>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</si>
  <si>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</si>
  <si>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</si>
  <si>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</si>
  <si>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</si>
  <si>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</si>
  <si>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</si>
  <si>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</si>
  <si>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</si>
  <si>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</si>
  <si>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</si>
  <si>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</si>
  <si>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</si>
  <si>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</si>
  <si>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</si>
  <si>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</si>
  <si>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</si>
  <si>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</si>
  <si>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</si>
  <si>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</si>
  <si>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</si>
  <si>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</si>
  <si>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</si>
  <si>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</si>
  <si>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</si>
  <si>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</si>
  <si>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</si>
  <si>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</si>
  <si>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</si>
  <si>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</si>
  <si>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</si>
  <si>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</si>
  <si>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</si>
  <si>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</si>
  <si>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</si>
  <si>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</si>
  <si>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</si>
  <si>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</si>
  <si>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</si>
  <si>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</si>
  <si>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</si>
  <si>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</si>
  <si>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</si>
  <si>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</si>
  <si>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</si>
  <si>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</si>
  <si>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</si>
  <si>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</si>
  <si>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</si>
  <si>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</si>
  <si>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</si>
  <si>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</si>
  <si>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</si>
  <si>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</si>
  <si>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</si>
  <si>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</si>
  <si>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</si>
  <si>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</si>
  <si>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</si>
  <si>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</si>
  <si>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</si>
  <si>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</si>
  <si>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</si>
  <si>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</si>
  <si>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</si>
  <si>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</si>
  <si>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</si>
  <si>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</si>
  <si>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</si>
  <si>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</si>
  <si>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</si>
  <si>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</si>
  <si>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</si>
  <si>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</si>
  <si>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</si>
  <si>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</si>
  <si>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</si>
  <si>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</si>
  <si>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</si>
  <si>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</si>
  <si>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</si>
  <si>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</si>
  <si>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</si>
  <si>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</si>
  <si>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</si>
  <si>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</si>
  <si>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</si>
  <si>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</si>
  <si>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</si>
  <si>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</si>
  <si>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</si>
  <si>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</si>
  <si>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</si>
  <si>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</si>
  <si>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</si>
  <si>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</si>
  <si>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</si>
  <si>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</si>
  <si>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</si>
  <si>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</si>
  <si>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</si>
  <si>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</si>
  <si>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</si>
  <si>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</si>
  <si>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</si>
  <si>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</si>
  <si>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</si>
  <si>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</si>
  <si>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</si>
  <si>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</si>
  <si>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</si>
  <si>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</si>
  <si>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</si>
  <si>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</si>
  <si>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</si>
  <si>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</si>
  <si>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</si>
  <si>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</si>
  <si>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</si>
  <si>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</si>
  <si>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</si>
  <si>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</si>
  <si>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</si>
  <si>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</si>
  <si>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</si>
  <si>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</si>
  <si>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</si>
  <si>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</si>
  <si>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</si>
  <si>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</si>
  <si>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</si>
  <si>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</si>
  <si>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</si>
  <si>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</si>
  <si>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</si>
  <si>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</si>
  <si>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</si>
  <si>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</si>
  <si>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</si>
  <si>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</si>
  <si>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</si>
  <si>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</si>
  <si>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</si>
  <si>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</si>
  <si>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</si>
  <si>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</si>
  <si>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</si>
  <si>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</si>
  <si>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</si>
  <si>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</si>
  <si>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</si>
  <si>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</si>
  <si>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</si>
  <si>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</si>
  <si>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</si>
  <si>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</si>
  <si>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</si>
  <si>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</si>
  <si>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</si>
  <si>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</si>
  <si>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</si>
  <si>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</si>
  <si>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</si>
  <si>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</si>
  <si>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</si>
  <si>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</si>
  <si>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</si>
  <si>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</si>
  <si>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</si>
  <si>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</si>
  <si>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</si>
  <si>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</si>
  <si>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</si>
  <si>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</si>
  <si>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</si>
  <si>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</si>
  <si>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</si>
  <si>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</si>
  <si>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</si>
  <si>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</si>
  <si>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</si>
  <si>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</si>
  <si>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</si>
  <si>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</si>
  <si>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</si>
  <si>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</si>
  <si>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</si>
  <si>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</si>
  <si>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</si>
  <si>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</si>
  <si>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</si>
  <si>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</si>
  <si>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</si>
  <si>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</si>
  <si>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</si>
  <si>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</si>
  <si>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</si>
  <si>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</si>
  <si>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</si>
  <si>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</si>
  <si>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</si>
  <si>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</si>
  <si>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</si>
  <si>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</si>
  <si>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</si>
  <si>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</si>
  <si>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</si>
  <si>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</si>
  <si>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</si>
  <si>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</si>
  <si>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</si>
  <si>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</si>
  <si>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</si>
  <si>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</si>
  <si>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</si>
  <si>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</si>
  <si>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</si>
  <si>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</si>
  <si>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</si>
  <si>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</si>
  <si>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</si>
  <si>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</si>
  <si>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</si>
  <si>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</si>
  <si>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</si>
  <si>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</si>
  <si>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</si>
  <si>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</si>
  <si>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</si>
  <si>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</si>
  <si>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</si>
  <si>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</si>
  <si>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</si>
  <si>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</si>
  <si>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</si>
  <si>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</si>
  <si>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</si>
  <si>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</si>
  <si>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</si>
  <si>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</si>
  <si>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</si>
  <si>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</si>
  <si>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</si>
  <si>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</si>
  <si>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</si>
  <si>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</si>
  <si>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</si>
  <si>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</si>
  <si>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</si>
  <si>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</si>
  <si>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</si>
  <si>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</si>
  <si>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</si>
  <si>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</si>
  <si>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</si>
  <si>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</si>
  <si>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</si>
  <si>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</si>
  <si>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</si>
  <si>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</si>
  <si>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</si>
  <si>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</si>
  <si>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</si>
  <si>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</si>
  <si>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</si>
  <si>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</si>
  <si>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</si>
  <si>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</si>
  <si>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</si>
  <si>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</si>
  <si>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</si>
  <si>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</si>
  <si>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</si>
  <si>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</si>
  <si>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</si>
  <si>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</si>
  <si>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</si>
  <si>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</si>
  <si>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</si>
  <si>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</si>
  <si>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</si>
  <si>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</si>
  <si>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</si>
  <si>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</si>
  <si>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</si>
  <si>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</si>
  <si>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</si>
  <si>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</si>
  <si>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</si>
  <si>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</si>
  <si>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</si>
  <si>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</si>
  <si>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</si>
  <si>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</si>
  <si>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</si>
  <si>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</si>
  <si>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</si>
  <si>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</si>
  <si>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</si>
  <si>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</si>
  <si>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</si>
  <si>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</si>
  <si>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</si>
  <si>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</si>
  <si>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</si>
  <si>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</si>
  <si>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</si>
  <si>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</si>
  <si>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</si>
  <si>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</si>
  <si>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</si>
  <si>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</si>
  <si>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</si>
  <si>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</si>
  <si>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</si>
  <si>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</si>
  <si>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</si>
  <si>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</si>
  <si>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</si>
  <si>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</si>
  <si>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</si>
  <si>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</si>
  <si>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</si>
  <si>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</si>
  <si>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</si>
  <si>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</si>
  <si>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</si>
  <si>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</si>
  <si>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</si>
  <si>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</si>
  <si>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</si>
  <si>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</si>
  <si>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</si>
  <si>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</si>
  <si>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</si>
  <si>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</si>
  <si>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</si>
  <si>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</si>
  <si>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</si>
  <si>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</si>
  <si>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</si>
  <si>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</si>
  <si>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</si>
  <si>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</si>
  <si>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</si>
  <si>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</si>
  <si>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</si>
  <si>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</si>
  <si>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</si>
  <si>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</si>
  <si>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</si>
  <si>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</si>
  <si>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</si>
  <si>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</si>
  <si>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</si>
  <si>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</si>
  <si>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</si>
  <si>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</si>
  <si>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</si>
  <si>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</si>
  <si>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</si>
  <si>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</si>
  <si>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</si>
  <si>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</si>
  <si>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</si>
  <si>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</si>
  <si>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</si>
  <si>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</si>
  <si>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</si>
  <si>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</si>
  <si>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</si>
  <si>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</si>
  <si>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</si>
  <si>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</si>
  <si>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</si>
  <si>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</si>
  <si>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</si>
  <si>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</si>
  <si>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</si>
  <si>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</si>
  <si>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</si>
  <si>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</si>
  <si>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</si>
  <si>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</si>
  <si>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</si>
  <si>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</si>
  <si>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</si>
  <si>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</si>
  <si>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</si>
  <si>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</si>
  <si>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</si>
  <si>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</si>
  <si>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</si>
  <si>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</si>
  <si>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</si>
  <si>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</si>
  <si>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</si>
  <si>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</si>
  <si>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</si>
  <si>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</si>
  <si>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</si>
  <si>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</si>
  <si>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</si>
  <si>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</si>
  <si>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</si>
  <si>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</si>
  <si>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</si>
  <si>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</si>
  <si>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</si>
  <si>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</si>
  <si>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</si>
  <si>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</si>
  <si>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</si>
  <si>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</si>
  <si>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</si>
  <si>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</si>
  <si>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</si>
  <si>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</si>
  <si>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</si>
  <si>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</si>
  <si>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</si>
  <si>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</si>
  <si>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</si>
  <si>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</si>
  <si>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</si>
  <si>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</si>
  <si>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</si>
  <si>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</si>
  <si>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</si>
  <si>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</si>
  <si>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</si>
  <si>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</si>
  <si>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</si>
  <si>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</si>
  <si>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</si>
  <si>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</si>
  <si>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</si>
  <si>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</si>
  <si>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</si>
  <si>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</si>
  <si>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</si>
  <si>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</si>
  <si>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</si>
  <si>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</si>
  <si>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</si>
  <si>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</si>
  <si>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</si>
  <si>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</si>
  <si>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</si>
  <si>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</si>
  <si>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</si>
  <si>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</si>
  <si>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</si>
  <si>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</si>
  <si>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</si>
  <si>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</si>
  <si>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</si>
  <si>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</si>
  <si>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</si>
  <si>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</si>
  <si>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</si>
  <si>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</si>
  <si>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</si>
  <si>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</si>
  <si>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</si>
  <si>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</si>
  <si>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</si>
  <si>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</si>
  <si>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</si>
  <si>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</si>
  <si>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</si>
  <si>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</si>
  <si>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</si>
  <si>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</si>
  <si>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</si>
  <si>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</si>
  <si>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</si>
  <si>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</si>
  <si>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</si>
  <si>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</si>
  <si>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</si>
  <si>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</si>
  <si>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</si>
  <si>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</si>
  <si>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</si>
  <si>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</si>
  <si>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</si>
  <si>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</si>
  <si>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</si>
  <si>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</si>
  <si>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</si>
  <si>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</si>
  <si>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</si>
  <si>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</si>
  <si>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</si>
  <si>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</si>
  <si>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</si>
  <si>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</si>
  <si>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</si>
  <si>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</si>
  <si>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</si>
  <si>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</si>
  <si>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</si>
  <si>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</si>
  <si>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</si>
  <si>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</si>
  <si>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</si>
  <si>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</si>
  <si>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</si>
  <si>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</si>
  <si>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</si>
  <si>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</si>
  <si>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</si>
  <si>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</si>
  <si>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</si>
  <si>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</si>
  <si>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</si>
  <si>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</si>
  <si>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</si>
  <si>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</si>
  <si>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</si>
  <si>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</si>
  <si>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</si>
  <si>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</si>
  <si>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</si>
  <si>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</si>
  <si>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</si>
  <si>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</si>
  <si>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</si>
  <si>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</si>
  <si>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</si>
  <si>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</si>
  <si>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</si>
  <si>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</si>
  <si>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</si>
  <si>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</si>
  <si>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</si>
  <si>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</si>
  <si>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</si>
  <si>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</si>
  <si>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</si>
  <si>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</si>
  <si>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</si>
  <si>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</si>
  <si>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</si>
  <si>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</si>
  <si>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</si>
  <si>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</si>
  <si>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</si>
  <si>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</si>
  <si>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</si>
  <si>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</si>
  <si>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</si>
  <si>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</si>
  <si>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</si>
  <si>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</si>
  <si>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</si>
  <si>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</si>
  <si>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</si>
  <si>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</si>
  <si>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</si>
  <si>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</si>
  <si>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</si>
  <si>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</si>
  <si>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</si>
  <si>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</si>
  <si>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</si>
  <si>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</si>
  <si>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</si>
  <si>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</si>
  <si>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</si>
  <si>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</si>
  <si>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</si>
  <si>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</si>
  <si>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</si>
  <si>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</si>
  <si>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</si>
  <si>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</si>
  <si>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</si>
  <si>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</si>
  <si>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</si>
  <si>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</si>
  <si>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</si>
  <si>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</si>
  <si>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</si>
  <si>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</si>
  <si>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</si>
  <si>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</si>
  <si>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</si>
  <si>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</si>
  <si>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</si>
  <si>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</si>
  <si>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</si>
  <si>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</si>
  <si>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</si>
  <si>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</si>
  <si>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</si>
  <si>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</si>
  <si>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</si>
  <si>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</si>
  <si>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</si>
  <si>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</si>
  <si>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</si>
  <si>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</si>
  <si>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</si>
  <si>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</si>
  <si>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</si>
  <si>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</si>
  <si>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</si>
  <si>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</si>
  <si>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</si>
  <si>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</si>
  <si>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</si>
  <si>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</si>
  <si>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</si>
  <si>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</si>
  <si>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</si>
  <si>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</si>
  <si>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</si>
  <si>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</si>
  <si>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</si>
  <si>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</si>
  <si>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</si>
  <si>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</si>
  <si>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</si>
  <si>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</si>
  <si>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</si>
  <si>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</si>
  <si>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</si>
  <si>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</si>
  <si>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</si>
  <si>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</si>
  <si>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</si>
  <si>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</si>
  <si>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</si>
  <si>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</si>
  <si>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</si>
  <si>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</si>
  <si>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</si>
  <si>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</si>
  <si>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</si>
  <si>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</si>
  <si>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</si>
  <si>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</si>
  <si>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</si>
  <si>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</si>
  <si>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</si>
  <si>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</si>
  <si>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</si>
  <si>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</si>
  <si>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</si>
  <si>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</si>
  <si>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</si>
  <si>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</si>
  <si>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</si>
  <si>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</si>
  <si>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</si>
  <si>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</si>
  <si>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</si>
  <si>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</si>
  <si>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</si>
  <si>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</si>
  <si>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</si>
  <si>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</si>
  <si>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</si>
  <si>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</si>
  <si>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</si>
  <si>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</si>
  <si>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</si>
  <si>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</si>
  <si>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</si>
  <si>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</si>
  <si>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</si>
  <si>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</si>
  <si>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</si>
  <si>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</si>
  <si>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</si>
  <si>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</si>
  <si>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</si>
  <si>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</si>
  <si>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</si>
  <si>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</si>
  <si>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</si>
  <si>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</si>
  <si>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</si>
  <si>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</si>
  <si>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</si>
  <si>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</si>
  <si>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</si>
  <si>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</si>
  <si>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</si>
  <si>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</si>
  <si>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</si>
  <si>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</si>
  <si>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</si>
  <si>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</si>
  <si>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</si>
  <si>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</si>
  <si>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</si>
  <si>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</si>
  <si>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</si>
  <si>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</si>
  <si>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</si>
  <si>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</si>
  <si>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</si>
  <si>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</si>
  <si>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</si>
  <si>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</si>
  <si>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</si>
  <si>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</si>
  <si>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</si>
  <si>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</si>
  <si>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</si>
  <si>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</si>
  <si>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</si>
  <si>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</si>
  <si>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</si>
  <si>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</si>
  <si>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</si>
  <si>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</si>
  <si>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</si>
  <si>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</si>
  <si>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</si>
  <si>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</si>
  <si>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</si>
  <si>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</si>
  <si>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</si>
  <si>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</si>
  <si>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</si>
  <si>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</si>
  <si>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</si>
  <si>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</si>
  <si>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</si>
  <si>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</si>
  <si>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</si>
  <si>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</si>
  <si>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</si>
  <si>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</si>
  <si>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</si>
  <si>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</si>
  <si>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</si>
  <si>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</si>
  <si>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</si>
  <si>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</si>
  <si>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</si>
  <si>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</si>
  <si>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</si>
  <si>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</si>
  <si>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</si>
  <si>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</si>
  <si>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</si>
  <si>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</si>
  <si>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</si>
  <si>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</si>
  <si>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</si>
  <si>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</si>
  <si>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</si>
  <si>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</si>
  <si>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</si>
  <si>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</si>
  <si>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</si>
  <si>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</si>
  <si>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</si>
  <si>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</si>
  <si>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</si>
  <si>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</si>
  <si>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</si>
  <si>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</si>
  <si>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</si>
  <si>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</si>
  <si>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</si>
  <si>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</si>
  <si>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</si>
  <si>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</si>
  <si>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</si>
  <si>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</si>
  <si>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</si>
  <si>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</si>
  <si>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</si>
  <si>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</si>
  <si>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</si>
  <si>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</si>
  <si>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</si>
  <si>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</si>
  <si>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</si>
  <si>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</si>
  <si>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</si>
  <si>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</si>
  <si>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</si>
  <si>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</si>
  <si>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</si>
  <si>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</si>
  <si>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</si>
  <si>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</si>
  <si>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</si>
  <si>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</si>
  <si>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</si>
  <si>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</si>
  <si>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</si>
  <si>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</si>
  <si>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</si>
  <si>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</si>
  <si>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</si>
  <si>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</si>
  <si>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</si>
  <si>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</si>
  <si>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</si>
  <si>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</si>
  <si>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</si>
  <si>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</si>
  <si>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</si>
  <si>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</si>
  <si>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</si>
  <si>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</si>
  <si>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</si>
  <si>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</si>
  <si>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</si>
  <si>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</si>
  <si>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</si>
  <si>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</si>
  <si>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</si>
  <si>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</si>
  <si>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</si>
  <si>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</si>
  <si>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</si>
  <si>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</si>
  <si>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</si>
  <si>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</si>
  <si>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</si>
  <si>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</si>
  <si>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</si>
  <si>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</si>
  <si>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</si>
  <si>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</si>
  <si>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</si>
  <si>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</si>
  <si>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</si>
  <si>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</si>
  <si>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</si>
  <si>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</si>
  <si>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</si>
  <si>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</si>
  <si>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</si>
  <si>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</si>
  <si>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</si>
  <si>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</si>
  <si>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</si>
  <si>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</si>
  <si>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</si>
  <si>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</si>
  <si>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</si>
  <si>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</si>
  <si>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</si>
  <si>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</si>
  <si>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</si>
  <si>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</si>
  <si>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</si>
  <si>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</si>
  <si>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</si>
  <si>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</si>
  <si>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</si>
  <si>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</si>
  <si>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</si>
  <si>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</si>
  <si>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</si>
  <si>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</si>
  <si>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</si>
  <si>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</si>
  <si>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</si>
  <si>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</si>
  <si>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</si>
  <si>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</si>
  <si>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</si>
  <si>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</si>
  <si>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</si>
  <si>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</si>
  <si>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</si>
  <si>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</si>
  <si>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</si>
  <si>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</si>
  <si>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</si>
  <si>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</si>
  <si>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</si>
  <si>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</si>
  <si>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</si>
  <si>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</si>
  <si>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</si>
  <si>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</si>
  <si>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</si>
  <si>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</si>
  <si>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</si>
  <si>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</si>
  <si>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</si>
  <si>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</si>
  <si>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</si>
  <si>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</si>
  <si>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</si>
  <si>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</si>
  <si>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</si>
  <si>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</si>
  <si>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</si>
  <si>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</si>
  <si>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</si>
  <si>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</si>
  <si>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</si>
  <si>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</si>
  <si>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</si>
  <si>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</si>
  <si>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</si>
  <si>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</si>
  <si>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</si>
  <si>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</si>
  <si>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</si>
  <si>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</si>
  <si>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</si>
  <si>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</si>
  <si>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</si>
  <si>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</si>
  <si>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</si>
  <si>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</si>
  <si>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</si>
  <si>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</si>
  <si>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</si>
  <si>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</si>
  <si>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</si>
  <si>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</si>
  <si>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</si>
  <si>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</si>
  <si>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</si>
  <si>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</si>
  <si>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</si>
  <si>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</si>
  <si>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</si>
  <si>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</si>
  <si>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</si>
  <si>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</si>
  <si>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</si>
  <si>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</si>
  <si>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</si>
  <si>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</si>
  <si>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</si>
  <si>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</si>
  <si>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</si>
  <si>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</si>
  <si>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</si>
  <si>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</si>
  <si>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</si>
  <si>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</si>
  <si>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</si>
  <si>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</si>
  <si>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</si>
  <si>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</si>
  <si>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</si>
  <si>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</si>
  <si>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</si>
  <si>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</si>
  <si>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</si>
  <si>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</si>
  <si>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</si>
  <si>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</si>
  <si>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</si>
  <si>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</si>
  <si>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</si>
  <si>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</si>
  <si>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</si>
  <si>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</si>
  <si>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</si>
  <si>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</si>
  <si>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</si>
  <si>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</si>
  <si>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</si>
  <si>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</si>
  <si>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</si>
  <si>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</si>
  <si>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</si>
  <si>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</si>
  <si>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</si>
  <si>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</si>
  <si>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</si>
  <si>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</si>
  <si>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</si>
  <si>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</si>
  <si>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</si>
  <si>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</si>
  <si>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</si>
  <si>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</si>
  <si>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</si>
  <si>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</si>
  <si>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</si>
  <si>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</si>
  <si>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</si>
  <si>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</si>
  <si>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</si>
  <si>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</si>
  <si>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</si>
  <si>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</si>
  <si>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</si>
  <si>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</si>
  <si>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</si>
  <si>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</si>
  <si>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</si>
  <si>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</si>
  <si>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</si>
  <si>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</si>
  <si>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</si>
  <si>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</si>
  <si>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</si>
  <si>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</si>
  <si>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</si>
  <si>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</si>
  <si>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</si>
  <si>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</si>
  <si>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</si>
  <si>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</si>
  <si>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</si>
  <si>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</si>
  <si>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</si>
  <si>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</si>
  <si>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</si>
  <si>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</si>
  <si>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</si>
  <si>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</si>
  <si>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</si>
  <si>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</si>
  <si>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</si>
  <si>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</si>
  <si>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</si>
  <si>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</si>
  <si>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</si>
  <si>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</si>
  <si>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</si>
  <si>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</si>
  <si>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</si>
  <si>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</si>
  <si>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</si>
  <si>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</si>
  <si>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</si>
  <si>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</si>
  <si>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</si>
  <si>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</si>
  <si>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</si>
  <si>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</si>
  <si>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</si>
  <si>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</si>
  <si>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</si>
  <si>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</si>
  <si>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</si>
  <si>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</si>
  <si>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</si>
  <si>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</si>
  <si>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</si>
  <si>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</si>
  <si>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</si>
  <si>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</si>
  <si>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</si>
  <si>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</si>
  <si>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</si>
  <si>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</si>
  <si>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</si>
  <si>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</si>
  <si>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</si>
  <si>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</si>
  <si>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</si>
  <si>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</si>
  <si>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</si>
  <si>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</si>
  <si>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</si>
  <si>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</si>
  <si>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</si>
  <si>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</si>
  <si>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</si>
  <si>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</si>
  <si>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</si>
  <si>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</si>
  <si>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</si>
  <si>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</si>
  <si>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</si>
  <si>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</si>
  <si>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</si>
  <si>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</si>
  <si>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</si>
  <si>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</si>
  <si>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</si>
  <si>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</si>
  <si>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</si>
  <si>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</si>
  <si>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</si>
  <si>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</si>
  <si>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</si>
  <si>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</si>
  <si>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</si>
  <si>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</si>
  <si>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</si>
  <si>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</si>
  <si>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</si>
  <si>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</si>
  <si>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</si>
  <si>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</si>
  <si>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</si>
  <si>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</si>
  <si>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</si>
  <si>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</si>
  <si>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</si>
  <si>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</si>
  <si>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</si>
  <si>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</si>
  <si>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</si>
  <si>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</si>
  <si>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</si>
  <si>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</si>
  <si>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</si>
  <si>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</si>
  <si>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</si>
  <si>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</si>
  <si>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</si>
  <si>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</si>
  <si>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</si>
  <si>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</si>
  <si>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</si>
  <si>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</si>
  <si>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</si>
  <si>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</si>
  <si>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</si>
  <si>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</si>
  <si>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</si>
  <si>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</si>
  <si>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</si>
  <si>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</si>
  <si>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</si>
  <si>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</si>
  <si>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</si>
  <si>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</si>
  <si>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</si>
  <si>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</si>
  <si>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</si>
  <si>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</si>
  <si>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</si>
  <si>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</si>
  <si>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</si>
  <si>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</si>
  <si>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</si>
  <si>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</si>
  <si>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</si>
  <si>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</si>
  <si>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</si>
  <si>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</si>
  <si>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</si>
  <si>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</si>
  <si>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</si>
  <si>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</si>
  <si>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</si>
  <si>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</si>
  <si>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</si>
  <si>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</si>
  <si>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</si>
  <si>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</si>
  <si>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</si>
  <si>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</si>
  <si>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</si>
  <si>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</si>
  <si>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</si>
  <si>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</si>
  <si>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</si>
  <si>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</si>
  <si>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</si>
  <si>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</si>
  <si>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</si>
  <si>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</si>
  <si>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</si>
  <si>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</si>
  <si>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</si>
  <si>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</si>
  <si>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</si>
  <si>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</si>
  <si>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</si>
  <si>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</si>
  <si>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</si>
  <si>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</si>
  <si>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</si>
  <si>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</si>
  <si>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</si>
  <si>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</si>
  <si>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</si>
  <si>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</si>
  <si>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</si>
  <si>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</si>
  <si>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</si>
  <si>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</si>
  <si>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</si>
  <si>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</si>
  <si>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</si>
  <si>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</si>
  <si>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</si>
  <si>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</si>
  <si>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</si>
  <si>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</si>
  <si>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</si>
  <si>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</si>
  <si>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</si>
  <si>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</si>
  <si>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</si>
  <si>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</si>
  <si>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</si>
  <si>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</si>
  <si>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</si>
  <si>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</si>
  <si>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</si>
  <si>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</si>
  <si>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</si>
  <si>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</si>
  <si>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</si>
  <si>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</si>
  <si>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</si>
  <si>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</si>
  <si>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</si>
  <si>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</si>
  <si>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</si>
  <si>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</si>
  <si>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</si>
  <si>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</si>
  <si>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</si>
  <si>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</si>
  <si>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</si>
  <si>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</si>
  <si>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</si>
  <si>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</si>
  <si>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</si>
  <si>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</si>
  <si>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</si>
  <si>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</si>
  <si>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</si>
  <si>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</si>
  <si>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</si>
  <si>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</si>
  <si>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</si>
  <si>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</si>
  <si>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</si>
  <si>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</si>
  <si>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</si>
  <si>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</si>
  <si>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</si>
  <si>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</si>
  <si>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</si>
  <si>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</si>
  <si>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</si>
  <si>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</si>
  <si>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</si>
  <si>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</si>
  <si>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</si>
  <si>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</si>
  <si>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</si>
  <si>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</si>
  <si>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</si>
  <si>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</si>
  <si>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</si>
  <si>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</si>
  <si>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</si>
  <si>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</si>
  <si>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</si>
  <si>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</si>
  <si>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</si>
  <si>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</si>
  <si>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</si>
  <si>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</si>
  <si>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</si>
  <si>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</si>
  <si>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</si>
  <si>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</si>
  <si>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</si>
  <si>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</si>
  <si>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</si>
  <si>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</si>
  <si>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</si>
  <si>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</si>
  <si>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</si>
  <si>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</si>
  <si>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</si>
  <si>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</si>
  <si>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</si>
  <si>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</si>
  <si>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</si>
  <si>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</si>
  <si>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</si>
  <si>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</si>
  <si>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</si>
  <si>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</si>
  <si>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</si>
  <si>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</si>
  <si>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</si>
  <si>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</si>
  <si>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</si>
  <si>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</si>
  <si>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</si>
  <si>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</si>
  <si>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</si>
  <si>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</si>
  <si>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</si>
  <si>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</si>
  <si>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</si>
  <si>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</si>
  <si>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</si>
  <si>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</si>
  <si>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</si>
  <si>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</si>
  <si>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</si>
  <si>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</si>
  <si>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</si>
  <si>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</si>
  <si>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</si>
  <si>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</si>
  <si>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</si>
  <si>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</si>
  <si>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</si>
  <si>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</si>
  <si>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</si>
  <si>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</si>
  <si>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</si>
  <si>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</si>
  <si>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</si>
  <si>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</si>
  <si>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</si>
  <si>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</si>
  <si>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</si>
  <si>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</si>
  <si>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</si>
  <si>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</si>
  <si>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</si>
  <si>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</si>
  <si>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</si>
  <si>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</si>
  <si>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</si>
  <si>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</si>
  <si>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</si>
  <si>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</si>
  <si>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</si>
  <si>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</si>
  <si>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</si>
  <si>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</si>
  <si>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</si>
  <si>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</si>
  <si>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</si>
  <si>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</si>
  <si>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</si>
  <si>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</si>
  <si>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</si>
  <si>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</si>
  <si>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</si>
  <si>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</si>
  <si>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</si>
  <si>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</si>
  <si>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</si>
  <si>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</si>
  <si>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</si>
  <si>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</si>
  <si>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</si>
  <si>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</si>
  <si>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</si>
  <si>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</si>
  <si>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</si>
  <si>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</si>
  <si>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</si>
  <si>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</si>
  <si>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</si>
  <si>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</si>
  <si>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</si>
  <si>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</si>
  <si>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</si>
  <si>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</si>
  <si>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</si>
  <si>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</si>
  <si>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</si>
  <si>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</si>
  <si>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</si>
  <si>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</si>
  <si>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</si>
  <si>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</si>
  <si>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</si>
  <si>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</si>
  <si>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</si>
  <si>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</si>
  <si>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</si>
  <si>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</si>
  <si>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</si>
  <si>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</si>
  <si>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</si>
  <si>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</si>
  <si>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</si>
  <si>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</si>
  <si>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</si>
  <si>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</si>
  <si>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</si>
  <si>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</si>
  <si>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</si>
  <si>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</si>
  <si>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</si>
  <si>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</si>
  <si>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</si>
  <si>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</si>
  <si>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</si>
  <si>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</si>
  <si>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</si>
  <si>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</si>
  <si>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</si>
  <si>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</si>
  <si>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</si>
  <si>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</si>
  <si>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</si>
  <si>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</si>
  <si>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</si>
  <si>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</si>
  <si>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</si>
  <si>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</si>
  <si>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</si>
  <si>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</si>
  <si>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</si>
  <si>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</si>
  <si>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</si>
  <si>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</si>
  <si>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</si>
  <si>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</si>
  <si>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</si>
  <si>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</si>
  <si>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</si>
  <si>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</si>
  <si>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</si>
  <si>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</si>
  <si>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</si>
  <si>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</si>
  <si>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</si>
  <si>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</si>
  <si>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</si>
  <si>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</si>
  <si>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</si>
  <si>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</si>
  <si>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</si>
  <si>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</si>
  <si>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</si>
  <si>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</si>
  <si>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</si>
  <si>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</si>
  <si>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</si>
  <si>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</si>
  <si>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</si>
  <si>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</si>
  <si>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</si>
  <si>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</si>
  <si>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</si>
  <si>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</si>
  <si>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</si>
  <si>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</si>
  <si>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</si>
  <si>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</si>
  <si>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</si>
  <si>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</si>
  <si>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</si>
  <si>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</si>
  <si>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</si>
  <si>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</si>
  <si>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</si>
  <si>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</si>
  <si>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</si>
  <si>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</si>
  <si>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</si>
  <si>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</si>
  <si>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</si>
  <si>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</si>
  <si>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</si>
  <si>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</si>
  <si>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</si>
  <si>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</si>
  <si>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</si>
  <si>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</si>
  <si>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</si>
  <si>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</si>
  <si>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</si>
  <si>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</si>
  <si>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</si>
  <si>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</si>
  <si>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</si>
  <si>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</si>
  <si>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</si>
  <si>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</si>
  <si>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</si>
  <si>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</si>
  <si>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</si>
  <si>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</si>
  <si>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</si>
  <si>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</si>
  <si>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</si>
  <si>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</si>
  <si>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</si>
  <si>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</si>
  <si>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</si>
  <si>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</si>
  <si>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</si>
  <si>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</si>
  <si>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</si>
  <si>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</si>
  <si>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</si>
  <si>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</si>
  <si>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</si>
  <si>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</si>
  <si>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</si>
  <si>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</si>
  <si>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</si>
  <si>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</si>
  <si>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</si>
  <si>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</si>
  <si>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</si>
  <si>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</si>
  <si>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</si>
  <si>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</si>
  <si>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</si>
  <si>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</si>
  <si>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</si>
  <si>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</si>
  <si>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</si>
  <si>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</si>
  <si>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</si>
  <si>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</si>
  <si>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</si>
  <si>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</si>
  <si>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</si>
  <si>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</si>
  <si>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</si>
  <si>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</si>
  <si>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</si>
  <si>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</si>
  <si>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</si>
  <si>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</si>
  <si>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</si>
  <si>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</si>
  <si>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</si>
  <si>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</si>
  <si>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</si>
  <si>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</si>
  <si>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</si>
  <si>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</si>
  <si>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</si>
  <si>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</si>
  <si>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</si>
  <si>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</si>
  <si>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</si>
  <si>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</si>
  <si>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</si>
  <si>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</si>
  <si>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</si>
  <si>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</si>
  <si>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</si>
  <si>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</si>
  <si>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</si>
  <si>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</si>
  <si>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</si>
  <si>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</si>
  <si>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</si>
  <si>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</si>
  <si>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</si>
  <si>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</si>
  <si>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</si>
  <si>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</si>
  <si>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</si>
  <si>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</si>
  <si>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</si>
  <si>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</si>
  <si>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</si>
  <si>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</si>
  <si>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</si>
  <si>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</si>
  <si>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</si>
  <si>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</si>
  <si>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</si>
  <si>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</si>
  <si>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</si>
  <si>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</si>
  <si>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</si>
  <si>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</si>
  <si>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</si>
  <si>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</si>
  <si>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</si>
  <si>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</si>
  <si>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</si>
  <si>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</si>
  <si>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</si>
  <si>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</si>
  <si>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</si>
  <si>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</si>
  <si>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</si>
  <si>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</si>
  <si>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</si>
  <si>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</si>
  <si>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</si>
  <si>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</si>
  <si>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</si>
  <si>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</si>
  <si>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</si>
  <si>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</si>
  <si>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</si>
  <si>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</si>
  <si>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</si>
  <si>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</si>
  <si>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</si>
  <si>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</si>
  <si>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</si>
  <si>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</si>
  <si>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</si>
  <si>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</si>
  <si>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</si>
  <si>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</si>
  <si>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</si>
  <si>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</si>
  <si>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</si>
  <si>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Bourns, Inc.</t>
  </si>
  <si>
    <t>00-825-5754</t>
  </si>
  <si>
    <t>1200 Columbia Ave., Riverside, CA 92507</t>
  </si>
  <si>
    <t>Marvella Sanchez</t>
  </si>
  <si>
    <t>Marvella.Sanchez@bourns.com</t>
  </si>
  <si>
    <t>951-781-5307</t>
  </si>
  <si>
    <t>Cathy Godfrey</t>
  </si>
  <si>
    <t>Corporate EHS Manager</t>
  </si>
  <si>
    <t>cathy.godfrey@bourns.com</t>
  </si>
  <si>
    <t>951-781-5008</t>
  </si>
  <si>
    <t>Malaysia Smelting Corp. reports 15-20% Sn from Rwanda and Katanga Province. While in the DRC vicinity, the two locations are not within the recognized conflict areas of eastern DRC. See http://www.msmelt.com/abt_policy.htm.</t>
  </si>
  <si>
    <t>Argor Heraeus reports that they source some of their CFS validated feed ore from Tanzania since 2005, &amp;  Umicore states in their CM policy that some purchased materials that are processed through their conflict-free validated smelters may originate from such areas.</t>
  </si>
  <si>
    <t>http://www.bourns.com/docs/RoHS-Content/conflict_metals_statement.pdf?sfvrsn=f2ab84f1_11</t>
  </si>
  <si>
    <t>TISP1xxxx</t>
  </si>
  <si>
    <t>Dual Unidirectional Thyristor Surge Protector</t>
  </si>
  <si>
    <t>TISP3xxxx</t>
  </si>
  <si>
    <t>Dual Bidirectional Thyristor Surge Protector</t>
  </si>
  <si>
    <t>TISP4xxxJ3</t>
  </si>
  <si>
    <t>Single Bidirectional Thyristor Surge Protector</t>
  </si>
  <si>
    <t>TISP4xxxHx</t>
  </si>
  <si>
    <t>TISP4xxxLx</t>
  </si>
  <si>
    <t>TISP4xxxMx</t>
  </si>
  <si>
    <t>TISPxxxTx</t>
  </si>
  <si>
    <t>TISP4Sxxx</t>
  </si>
  <si>
    <t>TISP5xxx</t>
  </si>
  <si>
    <t>TISP6NTP2x and TISP61089QB</t>
  </si>
  <si>
    <t>Quad Programmable Thyristor Surge Protector</t>
  </si>
  <si>
    <t>TISP6xxxx</t>
  </si>
  <si>
    <t>Dual Programmable Thyristor Surge Protector</t>
  </si>
  <si>
    <t>TISP7xxx</t>
  </si>
  <si>
    <t>Triple Element Bidirectional Thyristor Surge Protector</t>
  </si>
  <si>
    <t>TISP8xxx</t>
  </si>
  <si>
    <t>Programmable Unidirectional Thyristor Surge Protector</t>
  </si>
  <si>
    <t>TISP82xxx</t>
  </si>
  <si>
    <t>Dual Unidirectional Reverse Blocking Thyristor Surge Protector</t>
  </si>
  <si>
    <t>TISP83xxx</t>
  </si>
  <si>
    <t>Dual-Gate Unidirectional Thyristor Surge Protector</t>
  </si>
  <si>
    <t>TISP9xxx</t>
  </si>
  <si>
    <t>Dual Polarity SLIC Protection</t>
  </si>
  <si>
    <t>R3604</t>
  </si>
  <si>
    <t>Thyristor Surge Protector</t>
  </si>
  <si>
    <t>ACTP</t>
  </si>
  <si>
    <t>AC Transient Protector</t>
  </si>
  <si>
    <t>RMI VALIDATED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</si>
</sst>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1"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1" fillId="0" borderId="0" xfId="502" applyFont="1" applyFill="1" applyAlignment="1">
      <alignment horizontal="justify" vertical="top"/>
    </xf>
    <xf numFmtId="0" fontId="97" fillId="0" borderId="0" xfId="502" applyFont="1" applyFill="1" applyBorder="1" applyAlignment="1">
      <alignment horizontal="left" vertical="top" wrapText="1"/>
    </xf>
    <xf numFmtId="0" fontId="122" fillId="0" borderId="0" xfId="502" applyFont="1" applyFill="1" applyBorder="1" applyAlignment="1">
      <alignment horizontal="left" vertical="top" wrapText="1"/>
    </xf>
    <xf numFmtId="0" fontId="121"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5" fillId="0" borderId="0" xfId="527" applyFont="1" applyFill="1" applyAlignment="1">
      <alignment horizontal="left" vertical="top" wrapText="1"/>
    </xf>
    <xf numFmtId="164" fontId="6" fillId="0" borderId="0" xfId="480"/>
    <xf numFmtId="0" fontId="117" fillId="0" borderId="0" xfId="0" applyFont="1" applyFill="1" applyAlignment="1">
      <alignment vertical="top"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103" fillId="0" borderId="66" xfId="0" applyNumberFormat="1" applyFont="1" applyBorder="1" applyAlignment="1" applyProtection="1">
      <alignment horizontal="left"/>
      <protection locked="0"/>
    </xf>
    <xf numFmtId="0" fontId="103" fillId="0" borderId="67" xfId="0" applyNumberFormat="1" applyFont="1" applyBorder="1" applyAlignment="1" applyProtection="1">
      <alignment horizontal="left"/>
      <protection locked="0"/>
    </xf>
    <xf numFmtId="0" fontId="103" fillId="0" borderId="68" xfId="0" applyNumberFormat="1" applyFont="1" applyBorder="1" applyAlignment="1" applyProtection="1">
      <alignment horizontal="left"/>
      <protection locked="0"/>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bourns.com/docs/RoHS-Content/conflict_metals_statement.pdf?sfvrsn=f2ab84f1_11"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60"/>
      <c r="B2" s="38" t="s">
        <v>975</v>
      </c>
      <c r="C2" s="36"/>
      <c r="D2" s="227"/>
      <c r="E2" s="3"/>
      <c r="F2" s="36"/>
      <c r="G2" s="34"/>
    </row>
    <row r="3" spans="1:7">
      <c r="A3" s="360"/>
      <c r="B3" s="5" t="s">
        <v>964</v>
      </c>
      <c r="C3" s="6"/>
      <c r="D3" s="228"/>
      <c r="E3" s="3"/>
      <c r="F3" s="6"/>
      <c r="G3" s="34"/>
    </row>
    <row r="4" spans="1:7" ht="15.75">
      <c r="A4" s="360"/>
      <c r="B4" s="41" t="s">
        <v>977</v>
      </c>
      <c r="C4" s="7"/>
      <c r="D4" s="229"/>
      <c r="E4" s="3"/>
      <c r="F4" s="7"/>
      <c r="G4" s="34"/>
    </row>
    <row r="5" spans="1:7">
      <c r="A5" s="360"/>
      <c r="B5" s="40" t="s">
        <v>1169</v>
      </c>
      <c r="C5" s="4"/>
      <c r="D5" s="230"/>
      <c r="E5" s="3"/>
      <c r="F5" s="4"/>
      <c r="G5" s="34"/>
    </row>
    <row r="6" spans="1:7">
      <c r="A6" s="360"/>
      <c r="B6" s="8"/>
      <c r="C6" s="8"/>
      <c r="D6" s="231"/>
      <c r="E6" s="8"/>
      <c r="F6" s="8"/>
      <c r="G6" s="34"/>
    </row>
    <row r="7" spans="1:7">
      <c r="A7" s="360"/>
      <c r="B7" s="8"/>
      <c r="C7" s="8"/>
      <c r="D7" s="231"/>
      <c r="E7" s="8"/>
      <c r="F7" s="8"/>
      <c r="G7" s="34"/>
    </row>
    <row r="8" spans="1:7">
      <c r="A8" s="360"/>
      <c r="B8" s="8"/>
      <c r="C8" s="8"/>
      <c r="D8" s="231"/>
      <c r="E8" s="8"/>
      <c r="F8" s="8"/>
      <c r="G8" s="34"/>
    </row>
    <row r="9" spans="1:7">
      <c r="A9" s="360"/>
      <c r="B9" s="363" t="s">
        <v>978</v>
      </c>
      <c r="C9" s="363"/>
      <c r="D9" s="363"/>
      <c r="E9" s="363"/>
      <c r="F9" s="363"/>
      <c r="G9" s="34"/>
    </row>
    <row r="10" spans="1:7" ht="27" customHeight="1">
      <c r="A10" s="360"/>
      <c r="B10" s="364" t="s">
        <v>511</v>
      </c>
      <c r="C10" s="364"/>
      <c r="D10" s="364"/>
      <c r="E10" s="364"/>
      <c r="F10" s="364"/>
      <c r="G10" s="34"/>
    </row>
    <row r="11" spans="1:7" ht="27" customHeight="1">
      <c r="A11" s="360"/>
      <c r="B11" s="365"/>
      <c r="C11" s="365"/>
      <c r="D11" s="365"/>
      <c r="E11" s="365"/>
      <c r="F11" s="365"/>
      <c r="G11" s="34"/>
    </row>
    <row r="12" spans="1:7" ht="16.5">
      <c r="A12" s="360"/>
      <c r="B12" s="42" t="s">
        <v>976</v>
      </c>
      <c r="C12" s="43" t="s">
        <v>979</v>
      </c>
      <c r="D12" s="232" t="s">
        <v>980</v>
      </c>
      <c r="E12" s="43" t="s">
        <v>706</v>
      </c>
      <c r="F12" s="43" t="s">
        <v>707</v>
      </c>
      <c r="G12" s="34"/>
    </row>
    <row r="13" spans="1:7" ht="33.75">
      <c r="A13" s="360"/>
      <c r="B13" s="2">
        <v>1</v>
      </c>
      <c r="C13" s="37" t="s">
        <v>1220</v>
      </c>
      <c r="D13" s="39" t="s">
        <v>1004</v>
      </c>
      <c r="E13" s="214" t="s">
        <v>981</v>
      </c>
      <c r="F13" s="214"/>
      <c r="G13" s="34"/>
    </row>
    <row r="14" spans="1:7" ht="33.75">
      <c r="A14" s="360"/>
      <c r="B14" s="2">
        <v>2</v>
      </c>
      <c r="C14" s="37" t="s">
        <v>1220</v>
      </c>
      <c r="D14" s="39" t="s">
        <v>1154</v>
      </c>
      <c r="E14" s="214" t="s">
        <v>607</v>
      </c>
      <c r="F14" s="214" t="s">
        <v>608</v>
      </c>
      <c r="G14" s="34"/>
    </row>
    <row r="15" spans="1:7" ht="89.1" customHeight="1">
      <c r="A15" s="360"/>
      <c r="B15" s="345">
        <v>2.0099999999999998</v>
      </c>
      <c r="C15" s="357" t="s">
        <v>1220</v>
      </c>
      <c r="D15" s="366" t="s">
        <v>2745</v>
      </c>
      <c r="E15" s="215" t="s">
        <v>708</v>
      </c>
      <c r="F15" s="215" t="s">
        <v>711</v>
      </c>
      <c r="G15" s="34"/>
    </row>
    <row r="16" spans="1:7" ht="99" customHeight="1">
      <c r="A16" s="360"/>
      <c r="B16" s="346"/>
      <c r="C16" s="358"/>
      <c r="D16" s="367"/>
      <c r="E16" s="216"/>
      <c r="F16" s="216" t="s">
        <v>709</v>
      </c>
      <c r="G16" s="34"/>
    </row>
    <row r="17" spans="1:7" ht="63" customHeight="1">
      <c r="A17" s="360"/>
      <c r="B17" s="347"/>
      <c r="C17" s="359"/>
      <c r="D17" s="368"/>
      <c r="E17" s="37"/>
      <c r="F17" s="37" t="s">
        <v>710</v>
      </c>
      <c r="G17" s="34"/>
    </row>
    <row r="18" spans="1:7" ht="117" customHeight="1">
      <c r="A18" s="360"/>
      <c r="B18" s="345">
        <v>2.02</v>
      </c>
      <c r="C18" s="357" t="s">
        <v>1220</v>
      </c>
      <c r="D18" s="366" t="s">
        <v>2746</v>
      </c>
      <c r="E18" s="215" t="s">
        <v>512</v>
      </c>
      <c r="F18" s="215" t="s">
        <v>601</v>
      </c>
      <c r="G18" s="34"/>
    </row>
    <row r="19" spans="1:7" ht="71.099999999999994" customHeight="1">
      <c r="A19" s="360"/>
      <c r="B19" s="346"/>
      <c r="C19" s="358"/>
      <c r="D19" s="367"/>
      <c r="E19" s="216" t="s">
        <v>606</v>
      </c>
      <c r="F19" s="216" t="s">
        <v>513</v>
      </c>
      <c r="G19" s="34"/>
    </row>
    <row r="20" spans="1:7" ht="90.75" customHeight="1">
      <c r="A20" s="360"/>
      <c r="B20" s="346"/>
      <c r="C20" s="358"/>
      <c r="D20" s="367"/>
      <c r="E20" s="216"/>
      <c r="F20" s="216" t="s">
        <v>713</v>
      </c>
      <c r="G20" s="34"/>
    </row>
    <row r="21" spans="1:7" ht="74.25" customHeight="1">
      <c r="A21" s="360"/>
      <c r="B21" s="347"/>
      <c r="C21" s="359"/>
      <c r="D21" s="368"/>
      <c r="E21" s="37"/>
      <c r="F21" s="37" t="s">
        <v>712</v>
      </c>
      <c r="G21" s="34"/>
    </row>
    <row r="22" spans="1:7" ht="90" customHeight="1">
      <c r="A22" s="360"/>
      <c r="B22" s="351">
        <v>2.0299999999999998</v>
      </c>
      <c r="C22" s="351" t="s">
        <v>947</v>
      </c>
      <c r="D22" s="354" t="s">
        <v>2747</v>
      </c>
      <c r="E22" s="357" t="s">
        <v>510</v>
      </c>
      <c r="F22" s="215" t="s">
        <v>534</v>
      </c>
      <c r="G22" s="34"/>
    </row>
    <row r="23" spans="1:7" ht="109.5" customHeight="1">
      <c r="A23" s="360"/>
      <c r="B23" s="352"/>
      <c r="C23" s="352"/>
      <c r="D23" s="355"/>
      <c r="E23" s="358"/>
      <c r="F23" s="216" t="s">
        <v>948</v>
      </c>
      <c r="G23" s="34"/>
    </row>
    <row r="24" spans="1:7" ht="74.25" customHeight="1">
      <c r="A24" s="360"/>
      <c r="B24" s="353"/>
      <c r="C24" s="353"/>
      <c r="D24" s="356"/>
      <c r="E24" s="359"/>
      <c r="F24" s="37" t="s">
        <v>509</v>
      </c>
      <c r="G24" s="34"/>
    </row>
    <row r="25" spans="1:7" ht="72" customHeight="1">
      <c r="A25" s="360"/>
      <c r="B25" s="2" t="s">
        <v>532</v>
      </c>
      <c r="C25" s="37" t="s">
        <v>533</v>
      </c>
      <c r="D25" s="39" t="s">
        <v>2748</v>
      </c>
      <c r="E25" s="37" t="s">
        <v>2741</v>
      </c>
      <c r="F25" s="37" t="s">
        <v>535</v>
      </c>
      <c r="G25" s="34"/>
    </row>
    <row r="26" spans="1:7" ht="98.1" customHeight="1">
      <c r="A26" s="360"/>
      <c r="B26" s="348">
        <v>3</v>
      </c>
      <c r="C26" s="345" t="s">
        <v>79</v>
      </c>
      <c r="D26" s="366" t="s">
        <v>2749</v>
      </c>
      <c r="E26" s="357" t="s">
        <v>0</v>
      </c>
      <c r="F26" s="215" t="s">
        <v>73</v>
      </c>
      <c r="G26" s="34"/>
    </row>
    <row r="27" spans="1:7" ht="90" customHeight="1">
      <c r="A27" s="360"/>
      <c r="B27" s="349"/>
      <c r="C27" s="346"/>
      <c r="D27" s="367"/>
      <c r="E27" s="358"/>
      <c r="F27" s="216" t="s">
        <v>68</v>
      </c>
      <c r="G27" s="34"/>
    </row>
    <row r="28" spans="1:7" ht="19.350000000000001" customHeight="1">
      <c r="A28" s="360"/>
      <c r="B28" s="349"/>
      <c r="C28" s="346"/>
      <c r="D28" s="367"/>
      <c r="E28" s="358"/>
      <c r="F28" s="216" t="s">
        <v>69</v>
      </c>
      <c r="G28" s="34"/>
    </row>
    <row r="29" spans="1:7" ht="74.45" customHeight="1">
      <c r="A29" s="360"/>
      <c r="B29" s="349"/>
      <c r="C29" s="346"/>
      <c r="D29" s="367"/>
      <c r="E29" s="358"/>
      <c r="F29" s="216" t="s">
        <v>70</v>
      </c>
      <c r="G29" s="34"/>
    </row>
    <row r="30" spans="1:7" ht="62.45" customHeight="1">
      <c r="A30" s="360"/>
      <c r="B30" s="349"/>
      <c r="C30" s="346"/>
      <c r="D30" s="367"/>
      <c r="E30" s="358"/>
      <c r="F30" s="216" t="s">
        <v>71</v>
      </c>
      <c r="G30" s="34"/>
    </row>
    <row r="31" spans="1:7" ht="81" customHeight="1">
      <c r="A31" s="360"/>
      <c r="B31" s="349"/>
      <c r="C31" s="346"/>
      <c r="D31" s="367"/>
      <c r="E31" s="358"/>
      <c r="F31" s="216" t="s">
        <v>72</v>
      </c>
      <c r="G31" s="34"/>
    </row>
    <row r="32" spans="1:7" ht="48.75" customHeight="1">
      <c r="A32" s="360"/>
      <c r="B32" s="349"/>
      <c r="C32" s="346"/>
      <c r="D32" s="367"/>
      <c r="E32" s="358"/>
      <c r="F32" s="216" t="s">
        <v>75</v>
      </c>
      <c r="G32" s="34"/>
    </row>
    <row r="33" spans="1:7" ht="98.45" customHeight="1">
      <c r="A33" s="360"/>
      <c r="B33" s="349"/>
      <c r="C33" s="346"/>
      <c r="D33" s="367"/>
      <c r="E33" s="358"/>
      <c r="F33" s="216" t="s">
        <v>74</v>
      </c>
      <c r="G33" s="34"/>
    </row>
    <row r="34" spans="1:7" ht="89.1" customHeight="1">
      <c r="A34" s="360"/>
      <c r="B34" s="349"/>
      <c r="C34" s="346"/>
      <c r="D34" s="367"/>
      <c r="E34" s="358"/>
      <c r="F34" s="216" t="s">
        <v>76</v>
      </c>
      <c r="G34" s="34"/>
    </row>
    <row r="35" spans="1:7" ht="29.1" customHeight="1">
      <c r="A35" s="360"/>
      <c r="B35" s="349"/>
      <c r="C35" s="346"/>
      <c r="D35" s="367"/>
      <c r="E35" s="358"/>
      <c r="F35" s="216" t="s">
        <v>77</v>
      </c>
      <c r="G35" s="34"/>
    </row>
    <row r="36" spans="1:7" ht="126.75">
      <c r="A36" s="360"/>
      <c r="B36" s="350"/>
      <c r="C36" s="347"/>
      <c r="D36" s="368"/>
      <c r="E36" s="359"/>
      <c r="F36" s="217" t="s">
        <v>78</v>
      </c>
      <c r="G36" s="34"/>
    </row>
    <row r="37" spans="1:7" ht="123.75">
      <c r="A37" s="360"/>
      <c r="B37" s="176">
        <v>3.01</v>
      </c>
      <c r="C37" s="177" t="s">
        <v>79</v>
      </c>
      <c r="D37" s="39" t="s">
        <v>2750</v>
      </c>
      <c r="E37" s="218" t="s">
        <v>1475</v>
      </c>
      <c r="F37" s="219" t="s">
        <v>1602</v>
      </c>
      <c r="G37" s="34"/>
    </row>
    <row r="38" spans="1:7" ht="112.5">
      <c r="A38" s="360"/>
      <c r="B38" s="176">
        <v>3.02</v>
      </c>
      <c r="C38" s="177" t="s">
        <v>1509</v>
      </c>
      <c r="D38" s="39" t="s">
        <v>2751</v>
      </c>
      <c r="E38" s="218" t="s">
        <v>1524</v>
      </c>
      <c r="F38" s="219" t="s">
        <v>1603</v>
      </c>
      <c r="G38" s="34"/>
    </row>
    <row r="39" spans="1:7" ht="101.25">
      <c r="A39" s="360"/>
      <c r="B39" s="192">
        <v>4</v>
      </c>
      <c r="C39" s="191" t="s">
        <v>1782</v>
      </c>
      <c r="D39" s="39" t="s">
        <v>2752</v>
      </c>
      <c r="E39" s="37" t="s">
        <v>2680</v>
      </c>
      <c r="F39" s="37" t="s">
        <v>1783</v>
      </c>
      <c r="G39" s="34"/>
    </row>
    <row r="40" spans="1:7" ht="56.25">
      <c r="A40" s="360"/>
      <c r="B40" s="176">
        <v>4.01</v>
      </c>
      <c r="C40" s="191" t="s">
        <v>1782</v>
      </c>
      <c r="D40" s="39" t="s">
        <v>2754</v>
      </c>
      <c r="E40" s="37" t="s">
        <v>2700</v>
      </c>
      <c r="F40" s="37" t="s">
        <v>2706</v>
      </c>
      <c r="G40" s="34"/>
    </row>
    <row r="41" spans="1:7" ht="56.25">
      <c r="A41" s="360"/>
      <c r="B41" s="176" t="s">
        <v>2739</v>
      </c>
      <c r="C41" s="191" t="s">
        <v>1782</v>
      </c>
      <c r="D41" s="39" t="s">
        <v>2753</v>
      </c>
      <c r="E41" s="37" t="s">
        <v>2742</v>
      </c>
      <c r="F41" s="37" t="s">
        <v>2740</v>
      </c>
      <c r="G41" s="34"/>
    </row>
    <row r="42" spans="1:7" ht="56.25">
      <c r="A42" s="360"/>
      <c r="B42" s="176" t="s">
        <v>2791</v>
      </c>
      <c r="C42" s="191" t="s">
        <v>1782</v>
      </c>
      <c r="D42" s="39" t="s">
        <v>2962</v>
      </c>
      <c r="E42" s="37" t="s">
        <v>2741</v>
      </c>
      <c r="F42" s="37" t="s">
        <v>2792</v>
      </c>
      <c r="G42" s="34"/>
    </row>
    <row r="43" spans="1:7" ht="123.75">
      <c r="A43" s="360"/>
      <c r="B43" s="208">
        <v>4.0999999999999996</v>
      </c>
      <c r="C43" s="191" t="s">
        <v>2961</v>
      </c>
      <c r="D43" s="209">
        <v>42867</v>
      </c>
      <c r="E43" s="220" t="s">
        <v>2964</v>
      </c>
      <c r="F43" s="37" t="s">
        <v>2963</v>
      </c>
      <c r="G43" s="34"/>
    </row>
    <row r="44" spans="1:7" ht="78.75">
      <c r="A44" s="360"/>
      <c r="B44" s="208">
        <v>4.2</v>
      </c>
      <c r="C44" s="191" t="s">
        <v>2961</v>
      </c>
      <c r="D44" s="209">
        <v>42704</v>
      </c>
      <c r="E44" s="220" t="s">
        <v>3219</v>
      </c>
      <c r="F44" s="37" t="s">
        <v>3184</v>
      </c>
      <c r="G44" s="34"/>
    </row>
    <row r="45" spans="1:7" ht="157.5">
      <c r="A45" s="360"/>
      <c r="B45" s="287">
        <v>5</v>
      </c>
      <c r="C45" s="191" t="s">
        <v>2961</v>
      </c>
      <c r="D45" s="209">
        <v>42867</v>
      </c>
      <c r="E45" s="220" t="s">
        <v>14011</v>
      </c>
      <c r="F45" s="37" t="s">
        <v>13595</v>
      </c>
      <c r="G45" s="34"/>
    </row>
    <row r="46" spans="1:7" ht="45">
      <c r="A46" s="360"/>
      <c r="B46" s="208">
        <v>5.01</v>
      </c>
      <c r="C46" s="191" t="s">
        <v>2961</v>
      </c>
      <c r="D46" s="209">
        <v>42907</v>
      </c>
      <c r="E46" s="220" t="s">
        <v>14067</v>
      </c>
      <c r="F46" s="37" t="s">
        <v>13595</v>
      </c>
      <c r="G46" s="34"/>
    </row>
    <row r="47" spans="1:7" ht="67.5">
      <c r="A47" s="360"/>
      <c r="B47" s="208">
        <v>5.0999999999999996</v>
      </c>
      <c r="C47" s="191" t="s">
        <v>2961</v>
      </c>
      <c r="D47" s="209">
        <v>43070</v>
      </c>
      <c r="E47" s="220" t="s">
        <v>14293</v>
      </c>
      <c r="F47" s="37" t="s">
        <v>14294</v>
      </c>
      <c r="G47" s="34"/>
    </row>
    <row r="48" spans="1:7" ht="56.25">
      <c r="A48" s="360"/>
      <c r="B48" s="208">
        <v>5.1100000000000003</v>
      </c>
      <c r="C48" s="191" t="s">
        <v>14574</v>
      </c>
      <c r="D48" s="209">
        <v>43217</v>
      </c>
      <c r="E48" s="220" t="s">
        <v>14720</v>
      </c>
      <c r="F48" s="37" t="s">
        <v>14615</v>
      </c>
      <c r="G48" s="34"/>
    </row>
    <row r="49" spans="1:7" ht="13.5" thickBot="1">
      <c r="A49" s="361"/>
      <c r="B49" s="362" t="str">
        <f ca="1">OFFSET(L!$C$1,MATCH("General"&amp;"Cpy",L!$A:$A,0)-1,SL,,)</f>
        <v>© 2018 Responsible Minerals Initiative. All rights reserved.</v>
      </c>
      <c r="C49" s="362"/>
      <c r="D49" s="362"/>
      <c r="E49" s="362"/>
      <c r="F49" s="362"/>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1"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G63" sqref="G63:J6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10" t="str">
        <f ca="1">OFFSET(L!$C$1,MATCH("Declaration"&amp;ADDRESS(ROW(),COLUMN(),4),L!$A:$A,0)-1,SL,,)</f>
        <v>Conflict Minerals Reporting Template (CMRT)</v>
      </c>
      <c r="E2" s="411"/>
      <c r="F2" s="411"/>
      <c r="G2" s="411"/>
      <c r="H2" s="411"/>
      <c r="I2" s="411"/>
      <c r="J2" s="41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20"/>
      <c r="G3" s="420"/>
      <c r="H3" s="420"/>
      <c r="I3" s="194"/>
      <c r="J3" s="173" t="s">
        <v>14599</v>
      </c>
      <c r="K3" s="48"/>
      <c r="L3" s="144"/>
      <c r="M3" s="135"/>
      <c r="N3" s="135"/>
      <c r="O3" s="136"/>
      <c r="P3" s="149">
        <f>MATCH($D$3,LN,0)</f>
        <v>1</v>
      </c>
    </row>
    <row r="4" spans="1:34" ht="15.75">
      <c r="A4" s="46"/>
      <c r="B4" s="413" t="str">
        <f ca="1">OFFSET(L!$C$1,MATCH("Declaration"&amp;ADDRESS(ROW(),COLUMN(),4),L!$A:$A,0)-1,SL,,)</f>
        <v>The purpose of this document is to collect sourcing information on tin, tantalum, tungsten and gold used in products</v>
      </c>
      <c r="C4" s="413"/>
      <c r="D4" s="413"/>
      <c r="E4" s="413"/>
      <c r="F4" s="413"/>
      <c r="G4" s="413"/>
      <c r="H4" s="413"/>
      <c r="I4" s="421" t="str">
        <f ca="1">OFFSET(L!$C$1,MATCH("Declaration"&amp;ADDRESS(ROW(),COLUMN(),4),L!$A:$A,0)-1,SL,,)</f>
        <v>Link to Terms &amp; Conditions</v>
      </c>
      <c r="J4" s="421"/>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5" t="str">
        <f ca="1">OFFSET(L!$C$1,MATCH("Declaration"&amp;ADDRESS(ROW(),COLUMN(),4),L!$A:$A,0)-1,SL,,)</f>
        <v>Company Information</v>
      </c>
      <c r="C7" s="425"/>
      <c r="D7" s="425"/>
      <c r="E7" s="425"/>
      <c r="F7" s="425"/>
      <c r="G7" s="425"/>
      <c r="H7" s="425"/>
      <c r="I7" s="425"/>
      <c r="J7" s="425"/>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9" t="s">
        <v>15425</v>
      </c>
      <c r="E8" s="400"/>
      <c r="F8" s="400"/>
      <c r="G8" s="400"/>
      <c r="H8" s="400"/>
      <c r="I8" s="400"/>
      <c r="J8" s="401"/>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2" t="s">
        <v>570</v>
      </c>
      <c r="E9" s="423"/>
      <c r="F9" s="423"/>
      <c r="G9" s="424"/>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6" t="str">
        <f ca="1">OFFSET(L!$C$1,MATCH("Declaration"&amp;ADDRESS(ROW(),COLUMN(),4)&amp;LEFT($D$9,1),L!$A:$A,0)-1,SL,,)</f>
        <v>Go to Product List tab to enter products this declaration applies to</v>
      </c>
      <c r="C10" s="156"/>
      <c r="D10" s="414"/>
      <c r="E10" s="415"/>
      <c r="F10" s="415"/>
      <c r="G10" s="415"/>
      <c r="H10" s="415"/>
      <c r="I10" s="415"/>
      <c r="J10" s="41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7"/>
      <c r="C11" s="156"/>
      <c r="D11" s="390" t="str">
        <f ca="1">IF(D9=Q9,OFFSET(L!$C$1,MATCH("Declaration"&amp;ADDRESS(ROW(),COLUMN(),4),L!$A:$A,0)-1,SL,,),"")</f>
        <v>Click here to enter the products this declaration applies to</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t="s">
        <v>3047</v>
      </c>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t="s">
        <v>15426</v>
      </c>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17" t="s">
        <v>15427</v>
      </c>
      <c r="E14" s="418"/>
      <c r="F14" s="418"/>
      <c r="G14" s="418"/>
      <c r="H14" s="418"/>
      <c r="I14" s="418"/>
      <c r="J14" s="41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17" t="s">
        <v>15428</v>
      </c>
      <c r="E15" s="418"/>
      <c r="F15" s="418"/>
      <c r="G15" s="418"/>
      <c r="H15" s="418"/>
      <c r="I15" s="418"/>
      <c r="J15" s="41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9" t="s">
        <v>15429</v>
      </c>
      <c r="E16" s="400"/>
      <c r="F16" s="400"/>
      <c r="G16" s="400"/>
      <c r="H16" s="400"/>
      <c r="I16" s="400"/>
      <c r="J16" s="401"/>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17" t="s">
        <v>15430</v>
      </c>
      <c r="E17" s="418"/>
      <c r="F17" s="418"/>
      <c r="G17" s="418"/>
      <c r="H17" s="418"/>
      <c r="I17" s="418"/>
      <c r="J17" s="41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4" t="s">
        <v>15431</v>
      </c>
      <c r="E18" s="402"/>
      <c r="F18" s="402"/>
      <c r="G18" s="402"/>
      <c r="H18" s="402"/>
      <c r="I18" s="402"/>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4" t="s">
        <v>15432</v>
      </c>
      <c r="E19" s="402"/>
      <c r="F19" s="402"/>
      <c r="G19" s="402"/>
      <c r="H19" s="402"/>
      <c r="I19" s="402"/>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8" t="s">
        <v>15433</v>
      </c>
      <c r="E20" s="429"/>
      <c r="F20" s="429"/>
      <c r="G20" s="429"/>
      <c r="H20" s="429"/>
      <c r="I20" s="429"/>
      <c r="J20" s="430"/>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31" t="s">
        <v>15434</v>
      </c>
      <c r="E21" s="432"/>
      <c r="F21" s="432"/>
      <c r="G21" s="432"/>
      <c r="H21" s="432"/>
      <c r="I21" s="432"/>
      <c r="J21" s="43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4">
        <v>43277</v>
      </c>
      <c r="E22" s="435"/>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3"/>
      <c r="E23" s="403"/>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6" t="str">
        <f ca="1">OFFSET(L!$C$1,MATCH("Declaration"&amp;ADDRESS(ROW(),COLUMN(),4),L!$A:$A,0)-1,SL,,)</f>
        <v>Answer the following questions 1 - 7 based on the declaration scope indicated above</v>
      </c>
      <c r="C24" s="436"/>
      <c r="D24" s="436"/>
      <c r="E24" s="436"/>
      <c r="F24" s="436"/>
      <c r="G24" s="436"/>
      <c r="H24" s="436"/>
      <c r="I24" s="436"/>
      <c r="J24" s="43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3"/>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45.75" customHeight="1">
      <c r="A39" s="53"/>
      <c r="B39" s="52" t="str">
        <f ca="1">OFFSET(L!$C$1,MATCH("Declaration"&amp;ADDRESS(ROW(),COLUMN(),4),L!$A:$A,0)-1,SL,,)&amp;P39</f>
        <v>Tin  (*)</v>
      </c>
      <c r="C39" s="13"/>
      <c r="D39" s="375" t="s">
        <v>563</v>
      </c>
      <c r="E39" s="376"/>
      <c r="F39" s="59"/>
      <c r="G39" s="377" t="s">
        <v>15435</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51.75" customHeight="1">
      <c r="A40" s="53"/>
      <c r="B40" s="52" t="str">
        <f ca="1">OFFSET(L!$C$1,MATCH("Declaration"&amp;ADDRESS(ROW(),COLUMN(),4),L!$A:$A,0)-1,SL,,)&amp;P40</f>
        <v>Gold  (*)</v>
      </c>
      <c r="C40" s="13"/>
      <c r="D40" s="375" t="s">
        <v>563</v>
      </c>
      <c r="E40" s="376"/>
      <c r="F40" s="59"/>
      <c r="G40" s="377" t="s">
        <v>15436</v>
      </c>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6"/>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6">
        <v>1</v>
      </c>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6">
        <v>1</v>
      </c>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96"/>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3"/>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404" t="s">
        <v>15437</v>
      </c>
      <c r="H71" s="405"/>
      <c r="I71" s="405"/>
      <c r="J71" s="406"/>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13591</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9" stopIfTrue="1">
      <formula>AND(OR($D$26="No",AND($D$26="Yes",$D$32="No")),OR($D$27="No",AND($D$27="Yes",$D$33="No")), OR($D$28="No",AND($D$28="Yes",$D$34="No")), OR($D$29="No",AND($D$29="Yes",$D$35="No")))</formula>
    </cfRule>
    <cfRule type="expression" dxfId="69" priority="60" stopIfTrue="1">
      <formula>IF(D69="",TRUE)</formula>
    </cfRule>
  </conditionalFormatting>
  <conditionalFormatting sqref="G71:J71">
    <cfRule type="expression" dxfId="68" priority="31" stopIfTrue="1">
      <formula>IF(AND($D$71="Yes",$G$71=""),TRUE)</formula>
    </cfRule>
  </conditionalFormatting>
  <conditionalFormatting sqref="D26:E26">
    <cfRule type="expression" dxfId="67" priority="111" stopIfTrue="1">
      <formula>IF($D$26="",TRUE)</formula>
    </cfRule>
  </conditionalFormatting>
  <conditionalFormatting sqref="D27:E27">
    <cfRule type="expression" dxfId="66" priority="118" stopIfTrue="1">
      <formula>IF($D$27="",TRUE)</formula>
    </cfRule>
  </conditionalFormatting>
  <conditionalFormatting sqref="D28:E28">
    <cfRule type="expression" dxfId="65" priority="119" stopIfTrue="1">
      <formula>IF($D$28="",TRUE)</formula>
    </cfRule>
  </conditionalFormatting>
  <conditionalFormatting sqref="D29:E29">
    <cfRule type="expression" dxfId="64" priority="120" stopIfTrue="1">
      <formula>IF($D$29="",TRUE)</formula>
    </cfRule>
  </conditionalFormatting>
  <conditionalFormatting sqref="D22:E22">
    <cfRule type="expression" dxfId="63" priority="133" stopIfTrue="1">
      <formula>IF($D$22="",TRUE)</formula>
    </cfRule>
  </conditionalFormatting>
  <conditionalFormatting sqref="D10:J10">
    <cfRule type="expression" dxfId="62" priority="30" stopIfTrue="1">
      <formula>IF($D$9=$Q$9,TRUE)</formula>
    </cfRule>
    <cfRule type="expression" dxfId="61" priority="140" stopIfTrue="1">
      <formula>IF(AND($D$10="",$D$9=$R$9),TRUE)</formula>
    </cfRule>
  </conditionalFormatting>
  <conditionalFormatting sqref="D34:E34 D40:E40 D46:E46 D52:E52 D58:E58 D64:E64">
    <cfRule type="expression" dxfId="60" priority="23" stopIfTrue="1">
      <formula>$P$28=""</formula>
    </cfRule>
  </conditionalFormatting>
  <conditionalFormatting sqref="D35:E35 D41:E41 D47:E47 D53:E53 D59:E59 D65:E65">
    <cfRule type="expression" dxfId="59" priority="138" stopIfTrue="1">
      <formula>$P$29=""</formula>
    </cfRule>
  </conditionalFormatting>
  <conditionalFormatting sqref="D32:E32">
    <cfRule type="expression" dxfId="58" priority="116" stopIfTrue="1">
      <formula>$P$26=""</formula>
    </cfRule>
  </conditionalFormatting>
  <conditionalFormatting sqref="D32:E32">
    <cfRule type="expression" dxfId="57" priority="29" stopIfTrue="1">
      <formula>IF(AND(OR($D$26="Yes",$D$26=""),$D$32=""),1,0)</formula>
    </cfRule>
  </conditionalFormatting>
  <conditionalFormatting sqref="D38 D44 D50 D56 D62">
    <cfRule type="expression" dxfId="56" priority="25" stopIfTrue="1">
      <formula>$P$32=""</formula>
    </cfRule>
  </conditionalFormatting>
  <conditionalFormatting sqref="D39:E39 D45 D51 D57 D63">
    <cfRule type="expression" dxfId="55" priority="24" stopIfTrue="1">
      <formula>$P$33=""</formula>
    </cfRule>
  </conditionalFormatting>
  <conditionalFormatting sqref="D40 D46 D52 D58 D64">
    <cfRule type="expression" dxfId="54" priority="14" stopIfTrue="1">
      <formula>$P$34=""</formula>
    </cfRule>
    <cfRule type="expression" dxfId="53" priority="136" stopIfTrue="1">
      <formula>IF(AND(OR($D$28="Yes",$D$28=""),D40=""),1,0)</formula>
    </cfRule>
  </conditionalFormatting>
  <conditionalFormatting sqref="D41 D47 D53 D59 D65">
    <cfRule type="expression" dxfId="52" priority="22" stopIfTrue="1">
      <formula>$P$35=""</formula>
    </cfRule>
  </conditionalFormatting>
  <conditionalFormatting sqref="D38:E38 D44:E44 D50:E50 D56:E56 D62:E62">
    <cfRule type="expression" dxfId="51" priority="27" stopIfTrue="1">
      <formula>$P$26=""</formula>
    </cfRule>
    <cfRule type="expression" dxfId="50" priority="28" stopIfTrue="1">
      <formula>IF(AND(OR($D$26="Yes",$D$26=""),D38=""),1,0)</formula>
    </cfRule>
  </conditionalFormatting>
  <conditionalFormatting sqref="G79:J79">
    <cfRule type="expression" dxfId="49" priority="21" stopIfTrue="1">
      <formula>IF(AND($D$79="Yes, using other format (describe)",$G$79=""),TRUE)</formula>
    </cfRule>
  </conditionalFormatting>
  <conditionalFormatting sqref="D39:E39 D45:E45 D51:E51 D57:E57 D63:E63">
    <cfRule type="expression" dxfId="48" priority="134" stopIfTrue="1">
      <formula>$P$39=""</formula>
    </cfRule>
    <cfRule type="expression" dxfId="47" priority="135" stopIfTrue="1">
      <formula>IF(AND(OR($D$27="Yes",$D$27=""),D39=""),1,0)</formula>
    </cfRule>
  </conditionalFormatting>
  <conditionalFormatting sqref="D33:E33">
    <cfRule type="expression" dxfId="46" priority="16" stopIfTrue="1">
      <formula>IF(AND(OR($D$27="Yes",$D$27=""),$D$33=""),1,0)</formula>
    </cfRule>
    <cfRule type="expression" dxfId="45" priority="17" stopIfTrue="1">
      <formula>$P$27=""</formula>
    </cfRule>
  </conditionalFormatting>
  <conditionalFormatting sqref="D34:E34">
    <cfRule type="expression" dxfId="44" priority="137" stopIfTrue="1">
      <formula>IF(AND(OR($D$28="Yes",$D$28=""),$D$34=""),1,0)</formula>
    </cfRule>
  </conditionalFormatting>
  <conditionalFormatting sqref="D41:E41 D47:E47 D53:E53 D59:E59 D65:E65">
    <cfRule type="expression" dxfId="43" priority="139" stopIfTrue="1">
      <formula>IF(AND(OR($D$29="Yes",$D$29=""),D41=""),1,0)</formula>
    </cfRule>
  </conditionalFormatting>
  <conditionalFormatting sqref="D35:E35">
    <cfRule type="expression" dxfId="42" priority="13" stopIfTrue="1">
      <formula>IF(AND(OR($D$29="Yes",$D$29=""),$D$35=""),1,0)</formula>
    </cfRule>
  </conditionalFormatting>
  <conditionalFormatting sqref="D8:J8">
    <cfRule type="expression" dxfId="41" priority="8" stopIfTrue="1">
      <formula>IF($D$8="",TRUE)</formula>
    </cfRule>
  </conditionalFormatting>
  <conditionalFormatting sqref="D9:G9">
    <cfRule type="expression" dxfId="40" priority="7" stopIfTrue="1">
      <formula>IF($D$9="",TRUE)</formula>
    </cfRule>
  </conditionalFormatting>
  <conditionalFormatting sqref="D15:J15">
    <cfRule type="expression" dxfId="39" priority="6" stopIfTrue="1">
      <formula>IF($D$15="",TRUE)</formula>
    </cfRule>
  </conditionalFormatting>
  <conditionalFormatting sqref="D16:J16">
    <cfRule type="expression" dxfId="38" priority="5" stopIfTrue="1">
      <formula>IF($D$16="",TRUE)</formula>
    </cfRule>
  </conditionalFormatting>
  <conditionalFormatting sqref="D17:J17">
    <cfRule type="expression" dxfId="37" priority="4" stopIfTrue="1">
      <formula>IF($D$17="",TRUE)</formula>
    </cfRule>
  </conditionalFormatting>
  <conditionalFormatting sqref="D18:J18">
    <cfRule type="expression" dxfId="36" priority="3" stopIfTrue="1">
      <formula>IF($D$18="",TRUE)</formula>
    </cfRule>
  </conditionalFormatting>
  <conditionalFormatting sqref="D20:J20">
    <cfRule type="expression" dxfId="35" priority="2" stopIfTrue="1">
      <formula>IF($D$20="",TRUE)</formula>
    </cfRule>
  </conditionalFormatting>
  <conditionalFormatting sqref="D21:J21">
    <cfRule type="expression" dxfId="34" priority="1"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Q38" sqref="Q38"/>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7" t="str">
        <f ca="1">OFFSET(L!$C$1,MATCH("Smelter List"&amp;ADDRESS(ROW(),COLUMN(),4),L!$A:$A,0)-1,SL,,)</f>
        <v>Link to "RMAP Conformant Smelter List"</v>
      </c>
      <c r="K2" s="438"/>
      <c r="L2" s="438"/>
      <c r="M2" s="438"/>
      <c r="N2" s="438"/>
      <c r="O2" s="438"/>
      <c r="P2" s="271"/>
      <c r="Q2" s="272"/>
      <c r="R2" s="273"/>
      <c r="S2" s="273"/>
      <c r="T2" s="273"/>
      <c r="U2" s="203"/>
      <c r="V2" s="203"/>
      <c r="W2" s="204"/>
      <c r="X2" s="203"/>
      <c r="Y2" s="203"/>
      <c r="Z2" s="203"/>
      <c r="AH2" s="184" t="s">
        <v>563</v>
      </c>
    </row>
    <row r="3" spans="1:34" s="25" customFormat="1" ht="274.5" customHeight="1">
      <c r="A3" s="222"/>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4"/>
      <c r="G3" s="440" t="str">
        <f ca="1">OFFSET(L!$C$1,MATCH("General"&amp;"Cpy",L!$A:$A,0)-1,SL,,)</f>
        <v>© 2018 Responsible Minerals Initiative. All rights reserved.</v>
      </c>
      <c r="H3" s="440"/>
      <c r="I3" s="441"/>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102">
      <c r="A5" s="235" t="s">
        <v>748</v>
      </c>
      <c r="B5" s="236" t="str">
        <f ca="1">IF(LEN(A5)=0,"",INDEX('Smelter Look-up'!$A:$A,MATCH($A5,'Smelter Look-up'!$E:$E,0)))</f>
        <v>Gold</v>
      </c>
      <c r="C5" s="242" t="str">
        <f ca="1">IF(LEN(A5)=0,"",INDEX('Smelter Look-up'!$C:$C,MATCH($A5,'Smelter Look-up'!$E:$E,0)))</f>
        <v>Allgemeine Gold-und Silberscheideanstalt A.G.</v>
      </c>
      <c r="D5" s="236"/>
      <c r="E5" s="236" t="str">
        <f ca="1">IF(ISERROR($V5),"",OFFSET('Smelter Look-up'!$D$4,$V5-4,0)&amp;"")</f>
        <v>GERMANY</v>
      </c>
      <c r="F5" s="236" t="str">
        <f ca="1">IF(ISERROR($V5),"",OFFSET('Smelter Look-up'!$E$4,$V5-4,0))</f>
        <v>CID000035</v>
      </c>
      <c r="G5" s="236" t="str">
        <f ca="1">IF(C5=$X$4,"Enter smelter details", IF(ISERROR($V5),"",OFFSET('Smelter Look-up'!$F$4,$V5-4,0)))</f>
        <v>RMI</v>
      </c>
      <c r="H5" s="237">
        <f ca="1">IF(ISERROR($V5),"",OFFSET('Smelter Look-up'!$G$4,$V5-4,0))</f>
        <v>0</v>
      </c>
      <c r="I5" s="238" t="str">
        <f ca="1">IF(ISERROR($V5),"",OFFSET('Smelter Look-up'!$H$4,$V5-4,0))</f>
        <v>Pforzheim</v>
      </c>
      <c r="J5" s="238" t="str">
        <f ca="1">IF(ISERROR($V5),"",OFFSET('Smelter Look-up'!$I$4,$V5-4,0))</f>
        <v>Baden-Württemberg</v>
      </c>
      <c r="K5" s="240"/>
      <c r="L5" s="240"/>
      <c r="M5" s="240"/>
      <c r="N5" s="240"/>
      <c r="O5" s="240"/>
      <c r="P5" s="239"/>
      <c r="Q5" s="241" t="s">
        <v>15468</v>
      </c>
      <c r="R5" s="236" t="str">
        <f ca="1">IF(ISERROR($V5),"",OFFSET('Smelter Look-up'!$C$4,$V5-4,0)&amp;"")</f>
        <v>Allgemeine Gold-und Silberscheideanstalt A.G.</v>
      </c>
      <c r="S5" s="250" t="str">
        <f t="shared" ref="S5:S58" ca="1" si="0">IF(B5="","",IF(ISERROR(MATCH($E5,CL,0)),"Unknown",INDIRECT("'C'!$A$"&amp;MATCH($E5,CL,0)+1)))</f>
        <v>DE</v>
      </c>
      <c r="T5" s="250" t="str">
        <f ca="1">IF(B5="","",IF(ISERROR(MATCH($J5,SorP!$B$1:$B$6230,0)),"",INDIRECT("'SorP'!$A$"&amp;MATCH($J5,SorP!$B$1:$B$6230,0))))</f>
        <v>DE-BW</v>
      </c>
      <c r="U5" s="280"/>
      <c r="V5" s="281">
        <f ca="1">IF(C5="",NA(),MATCH($B5&amp;$C5,'Smelter Look-up'!$J:$J,0))</f>
        <v>13</v>
      </c>
      <c r="W5" s="282"/>
      <c r="X5" s="282">
        <f t="shared" ref="X5:X58" ca="1" si="1">IF(AND(C5="Smelter not listed",OR(LEN(D5)=0,LEN(E5)=0)),1,0)</f>
        <v>0</v>
      </c>
      <c r="Y5" s="282"/>
      <c r="Z5" s="282"/>
      <c r="AB5" s="284" t="str">
        <f t="shared" ref="AB5:AB58" ca="1" si="2">B5&amp;C5</f>
        <v>GoldAllgemeine Gold-und Silberscheideanstalt A.G.</v>
      </c>
    </row>
    <row r="6" spans="1:34" s="283" customFormat="1" ht="89.25">
      <c r="A6" s="235" t="s">
        <v>750</v>
      </c>
      <c r="B6" s="236" t="str">
        <f ca="1">IF(LEN(A6)=0,"",INDEX('Smelter Look-up'!$A:$A,MATCH($A6,'Smelter Look-up'!$E:$E,0)))</f>
        <v>Gold</v>
      </c>
      <c r="C6" s="242" t="str">
        <f ca="1">IF(LEN(A6)=0,"",INDEX('Smelter Look-up'!$C:$C,MATCH($A6,'Smelter Look-up'!$E:$E,0)))</f>
        <v>AngloGold Ashanti Corrego do Sitio Mineracao</v>
      </c>
      <c r="D6" s="236"/>
      <c r="E6" s="236" t="str">
        <f ca="1">IF(ISERROR($V6),"",OFFSET('Smelter Look-up'!$D$4,$V6-4,0)&amp;"")</f>
        <v>BRAZIL</v>
      </c>
      <c r="F6" s="236" t="str">
        <f ca="1">IF(ISERROR($V6),"",OFFSET('Smelter Look-up'!$E$4,$V6-4,0))</f>
        <v>CID000058</v>
      </c>
      <c r="G6" s="236" t="str">
        <f ca="1">IF(C6=$X$4,"Enter smelter details", IF(ISERROR($V6),"",OFFSET('Smelter Look-up'!$F$4,$V6-4,0)))</f>
        <v>RMI</v>
      </c>
      <c r="H6" s="237">
        <f ca="1">IF(ISERROR($V6),"",OFFSET('Smelter Look-up'!$G$4,$V6-4,0))</f>
        <v>0</v>
      </c>
      <c r="I6" s="238" t="str">
        <f ca="1">IF(ISERROR($V6),"",OFFSET('Smelter Look-up'!$H$4,$V6-4,0))</f>
        <v>Nova Lima</v>
      </c>
      <c r="J6" s="238" t="str">
        <f ca="1">IF(ISERROR($V6),"",OFFSET('Smelter Look-up'!$I$4,$V6-4,0))</f>
        <v>Minas Gerais</v>
      </c>
      <c r="K6" s="240"/>
      <c r="L6" s="240"/>
      <c r="M6" s="240"/>
      <c r="N6" s="240"/>
      <c r="O6" s="240"/>
      <c r="P6" s="239"/>
      <c r="Q6" s="241" t="s">
        <v>15468</v>
      </c>
      <c r="R6" s="236" t="str">
        <f ca="1">IF(ISERROR($V6),"",OFFSET('Smelter Look-up'!$C$4,$V6-4,0)&amp;"")</f>
        <v>AngloGold Ashanti Corrego do Sitio Mineracao</v>
      </c>
      <c r="S6" s="250" t="str">
        <f t="shared" ca="1" si="0"/>
        <v>BR</v>
      </c>
      <c r="T6" s="250" t="str">
        <f ca="1">IF(B6="","",IF(ISERROR(MATCH($J6,SorP!$B$1:$B$6230,0)),"",INDIRECT("'SorP'!$A$"&amp;MATCH($J6,SorP!$B$1:$B$6230,0))))</f>
        <v>BR-MG</v>
      </c>
      <c r="U6" s="280"/>
      <c r="V6" s="281">
        <f ca="1">IF(C6="",NA(),MATCH($B6&amp;$C6,'Smelter Look-up'!$J:$J,0))</f>
        <v>17</v>
      </c>
      <c r="W6" s="282"/>
      <c r="X6" s="282">
        <f t="shared" ca="1" si="1"/>
        <v>0</v>
      </c>
      <c r="Y6" s="282"/>
      <c r="Z6" s="282"/>
      <c r="AB6" s="284" t="str">
        <f t="shared" ca="1" si="2"/>
        <v>GoldAngloGold Ashanti Corrego do Sitio Mineracao</v>
      </c>
    </row>
    <row r="7" spans="1:34" s="283" customFormat="1" ht="51">
      <c r="A7" s="235" t="s">
        <v>751</v>
      </c>
      <c r="B7" s="236" t="str">
        <f ca="1">IF(LEN(A7)=0,"",INDEX('Smelter Look-up'!$A:$A,MATCH($A7,'Smelter Look-up'!$E:$E,0)))</f>
        <v>Gold</v>
      </c>
      <c r="C7" s="242" t="str">
        <f ca="1">IF(LEN(A7)=0,"",INDEX('Smelter Look-up'!$C:$C,MATCH($A7,'Smelter Look-up'!$E:$E,0)))</f>
        <v>Argor-Heraeus S.A.</v>
      </c>
      <c r="D7" s="236"/>
      <c r="E7" s="236" t="str">
        <f ca="1">IF(ISERROR($V7),"",OFFSET('Smelter Look-up'!$D$4,$V7-4,0)&amp;"")</f>
        <v>SWITZERLAND</v>
      </c>
      <c r="F7" s="236" t="str">
        <f ca="1">IF(ISERROR($V7),"",OFFSET('Smelter Look-up'!$E$4,$V7-4,0))</f>
        <v>CID000077</v>
      </c>
      <c r="G7" s="236" t="str">
        <f ca="1">IF(C7=$X$4,"Enter smelter details", IF(ISERROR($V7),"",OFFSET('Smelter Look-up'!$F$4,$V7-4,0)))</f>
        <v>RMI</v>
      </c>
      <c r="H7" s="237">
        <f ca="1">IF(ISERROR($V7),"",OFFSET('Smelter Look-up'!$G$4,$V7-4,0))</f>
        <v>0</v>
      </c>
      <c r="I7" s="238" t="str">
        <f ca="1">IF(ISERROR($V7),"",OFFSET('Smelter Look-up'!$H$4,$V7-4,0))</f>
        <v>Mendrisio</v>
      </c>
      <c r="J7" s="238" t="str">
        <f ca="1">IF(ISERROR($V7),"",OFFSET('Smelter Look-up'!$I$4,$V7-4,0))</f>
        <v>Ticino</v>
      </c>
      <c r="K7" s="240"/>
      <c r="L7" s="240"/>
      <c r="M7" s="240"/>
      <c r="N7" s="240"/>
      <c r="O7" s="240"/>
      <c r="P7" s="239"/>
      <c r="Q7" s="241" t="s">
        <v>15468</v>
      </c>
      <c r="R7" s="236" t="str">
        <f ca="1">IF(ISERROR($V7),"",OFFSET('Smelter Look-up'!$C$4,$V7-4,0)&amp;"")</f>
        <v>Argor-Heraeus S.A.</v>
      </c>
      <c r="S7" s="250" t="str">
        <f t="shared" ca="1" si="0"/>
        <v>CH</v>
      </c>
      <c r="T7" s="250" t="str">
        <f ca="1">IF(B7="","",IF(ISERROR(MATCH($J7,SorP!$B$1:$B$6230,0)),"",INDIRECT("'SorP'!$A$"&amp;MATCH($J7,SorP!$B$1:$B$6230,0))))</f>
        <v>CH-TI</v>
      </c>
      <c r="U7" s="280"/>
      <c r="V7" s="281">
        <f ca="1">IF(C7="",NA(),MATCH($B7&amp;$C7,'Smelter Look-up'!$J:$J,0))</f>
        <v>21</v>
      </c>
      <c r="W7" s="282"/>
      <c r="X7" s="282">
        <f t="shared" ca="1" si="1"/>
        <v>0</v>
      </c>
      <c r="Y7" s="282"/>
      <c r="Z7" s="282"/>
      <c r="AB7" s="284" t="str">
        <f t="shared" ca="1" si="2"/>
        <v>GoldArgor-Heraeus S.A.</v>
      </c>
    </row>
    <row r="8" spans="1:34" s="283" customFormat="1" ht="25.5">
      <c r="A8" s="235" t="s">
        <v>755</v>
      </c>
      <c r="B8" s="236" t="str">
        <f ca="1">IF(LEN(A8)=0,"",INDEX('Smelter Look-up'!$A:$A,MATCH($A8,'Smelter Look-up'!$E:$E,0)))</f>
        <v>Gold</v>
      </c>
      <c r="C8" s="242" t="str">
        <f ca="1">IF(LEN(A8)=0,"",INDEX('Smelter Look-up'!$C:$C,MATCH($A8,'Smelter Look-up'!$E:$E,0)))</f>
        <v>Aurubis AG</v>
      </c>
      <c r="D8" s="236"/>
      <c r="E8" s="236" t="str">
        <f ca="1">IF(ISERROR($V8),"",OFFSET('Smelter Look-up'!$D$4,$V8-4,0)&amp;"")</f>
        <v>GERMANY</v>
      </c>
      <c r="F8" s="236" t="str">
        <f ca="1">IF(ISERROR($V8),"",OFFSET('Smelter Look-up'!$E$4,$V8-4,0))</f>
        <v>CID000113</v>
      </c>
      <c r="G8" s="236" t="str">
        <f ca="1">IF(C8=$X$4,"Enter smelter details", IF(ISERROR($V8),"",OFFSET('Smelter Look-up'!$F$4,$V8-4,0)))</f>
        <v>RMI</v>
      </c>
      <c r="H8" s="237">
        <f ca="1">IF(ISERROR($V8),"",OFFSET('Smelter Look-up'!$G$4,$V8-4,0))</f>
        <v>0</v>
      </c>
      <c r="I8" s="238" t="str">
        <f ca="1">IF(ISERROR($V8),"",OFFSET('Smelter Look-up'!$H$4,$V8-4,0))</f>
        <v>Hamburg</v>
      </c>
      <c r="J8" s="238" t="str">
        <f ca="1">IF(ISERROR($V8),"",OFFSET('Smelter Look-up'!$I$4,$V8-4,0))</f>
        <v>Hamburg</v>
      </c>
      <c r="K8" s="240"/>
      <c r="L8" s="240"/>
      <c r="M8" s="240"/>
      <c r="N8" s="240"/>
      <c r="O8" s="240"/>
      <c r="P8" s="239"/>
      <c r="Q8" s="241" t="s">
        <v>15468</v>
      </c>
      <c r="R8" s="236" t="str">
        <f ca="1">IF(ISERROR($V8),"",OFFSET('Smelter Look-up'!$C$4,$V8-4,0)&amp;"")</f>
        <v>Aurubis AG</v>
      </c>
      <c r="S8" s="250" t="str">
        <f t="shared" ca="1" si="0"/>
        <v>DE</v>
      </c>
      <c r="T8" s="250" t="str">
        <f ca="1">IF(B8="","",IF(ISERROR(MATCH($J8,SorP!$B$1:$B$6230,0)),"",INDIRECT("'SorP'!$A$"&amp;MATCH($J8,SorP!$B$1:$B$6230,0))))</f>
        <v>DE-HH</v>
      </c>
      <c r="U8" s="280"/>
      <c r="V8" s="281">
        <f ca="1">IF(C8="",NA(),MATCH($B8&amp;$C8,'Smelter Look-up'!$J:$J,0))</f>
        <v>29</v>
      </c>
      <c r="W8" s="282"/>
      <c r="X8" s="282">
        <f t="shared" ca="1" si="1"/>
        <v>0</v>
      </c>
      <c r="Y8" s="282"/>
      <c r="Z8" s="282"/>
      <c r="AB8" s="284" t="str">
        <f t="shared" ca="1" si="2"/>
        <v>GoldAurubis AG</v>
      </c>
    </row>
    <row r="9" spans="1:34" s="283" customFormat="1" ht="25.5">
      <c r="A9" s="235" t="s">
        <v>757</v>
      </c>
      <c r="B9" s="236" t="str">
        <f ca="1">IF(LEN(A9)=0,"",INDEX('Smelter Look-up'!$A:$A,MATCH($A9,'Smelter Look-up'!$E:$E,0)))</f>
        <v>Gold</v>
      </c>
      <c r="C9" s="242" t="str">
        <f ca="1">IF(LEN(A9)=0,"",INDEX('Smelter Look-up'!$C:$C,MATCH($A9,'Smelter Look-up'!$E:$E,0)))</f>
        <v>Boliden AB</v>
      </c>
      <c r="D9" s="236"/>
      <c r="E9" s="236" t="str">
        <f ca="1">IF(ISERROR($V9),"",OFFSET('Smelter Look-up'!$D$4,$V9-4,0)&amp;"")</f>
        <v>SWEDEN</v>
      </c>
      <c r="F9" s="236" t="str">
        <f ca="1">IF(ISERROR($V9),"",OFFSET('Smelter Look-up'!$E$4,$V9-4,0))</f>
        <v>CID000157</v>
      </c>
      <c r="G9" s="236" t="str">
        <f ca="1">IF(C9=$X$4,"Enter smelter details", IF(ISERROR($V9),"",OFFSET('Smelter Look-up'!$F$4,$V9-4,0)))</f>
        <v>RMI</v>
      </c>
      <c r="H9" s="237">
        <f ca="1">IF(ISERROR($V9),"",OFFSET('Smelter Look-up'!$G$4,$V9-4,0))</f>
        <v>0</v>
      </c>
      <c r="I9" s="238" t="str">
        <f ca="1">IF(ISERROR($V9),"",OFFSET('Smelter Look-up'!$H$4,$V9-4,0))</f>
        <v>Skelleftehamn</v>
      </c>
      <c r="J9" s="238" t="str">
        <f ca="1">IF(ISERROR($V9),"",OFFSET('Smelter Look-up'!$I$4,$V9-4,0))</f>
        <v>Västerbottens län [SE-24]</v>
      </c>
      <c r="K9" s="240"/>
      <c r="L9" s="240"/>
      <c r="M9" s="240"/>
      <c r="N9" s="240"/>
      <c r="O9" s="240"/>
      <c r="P9" s="239"/>
      <c r="Q9" s="241" t="s">
        <v>15468</v>
      </c>
      <c r="R9" s="236" t="str">
        <f ca="1">IF(ISERROR($V9),"",OFFSET('Smelter Look-up'!$C$4,$V9-4,0)&amp;"")</f>
        <v>Boliden AB</v>
      </c>
      <c r="S9" s="250" t="str">
        <f t="shared" ca="1" si="0"/>
        <v>SE</v>
      </c>
      <c r="T9" s="250" t="str">
        <f ca="1">IF(B9="","",IF(ISERROR(MATCH($J9,SorP!$B$1:$B$6230,0)),"",INDIRECT("'SorP'!$A$"&amp;MATCH($J9,SorP!$B$1:$B$6230,0))))</f>
        <v>SE-AC</v>
      </c>
      <c r="U9" s="280"/>
      <c r="V9" s="281">
        <f ca="1">IF(C9="",NA(),MATCH($B9&amp;$C9,'Smelter Look-up'!$J:$J,0))</f>
        <v>34</v>
      </c>
      <c r="W9" s="282"/>
      <c r="X9" s="282">
        <f t="shared" ca="1" si="1"/>
        <v>0</v>
      </c>
      <c r="Y9" s="282"/>
      <c r="Z9" s="282"/>
      <c r="AB9" s="284" t="str">
        <f t="shared" ca="1" si="2"/>
        <v>GoldBoliden AB</v>
      </c>
    </row>
    <row r="10" spans="1:34" s="283" customFormat="1" ht="51">
      <c r="A10" s="235" t="s">
        <v>759</v>
      </c>
      <c r="B10" s="236" t="str">
        <f ca="1">IF(LEN(A10)=0,"",INDEX('Smelter Look-up'!$A:$A,MATCH($A10,'Smelter Look-up'!$E:$E,0)))</f>
        <v>Gold</v>
      </c>
      <c r="C10" s="242" t="str">
        <f ca="1">IF(LEN(A10)=0,"",INDEX('Smelter Look-up'!$C:$C,MATCH($A10,'Smelter Look-up'!$E:$E,0)))</f>
        <v>C. Hafner GmbH + Co. KG</v>
      </c>
      <c r="D10" s="236"/>
      <c r="E10" s="236" t="str">
        <f ca="1">IF(ISERROR($V10),"",OFFSET('Smelter Look-up'!$D$4,$V10-4,0)&amp;"")</f>
        <v>GERMANY</v>
      </c>
      <c r="F10" s="236" t="str">
        <f ca="1">IF(ISERROR($V10),"",OFFSET('Smelter Look-up'!$E$4,$V10-4,0))</f>
        <v>CID000176</v>
      </c>
      <c r="G10" s="236" t="str">
        <f ca="1">IF(C10=$X$4,"Enter smelter details", IF(ISERROR($V10),"",OFFSET('Smelter Look-up'!$F$4,$V10-4,0)))</f>
        <v>RMI</v>
      </c>
      <c r="H10" s="237">
        <f ca="1">IF(ISERROR($V10),"",OFFSET('Smelter Look-up'!$G$4,$V10-4,0))</f>
        <v>0</v>
      </c>
      <c r="I10" s="238" t="str">
        <f ca="1">IF(ISERROR($V10),"",OFFSET('Smelter Look-up'!$H$4,$V10-4,0))</f>
        <v>Pforzheim</v>
      </c>
      <c r="J10" s="238" t="str">
        <f ca="1">IF(ISERROR($V10),"",OFFSET('Smelter Look-up'!$I$4,$V10-4,0))</f>
        <v>Baden-Württemberg</v>
      </c>
      <c r="K10" s="240"/>
      <c r="L10" s="240"/>
      <c r="M10" s="240"/>
      <c r="N10" s="240"/>
      <c r="O10" s="240"/>
      <c r="P10" s="239"/>
      <c r="Q10" s="241" t="s">
        <v>15468</v>
      </c>
      <c r="R10" s="236" t="str">
        <f ca="1">IF(ISERROR($V10),"",OFFSET('Smelter Look-up'!$C$4,$V10-4,0)&amp;"")</f>
        <v>C. Hafner GmbH + Co. KG</v>
      </c>
      <c r="S10" s="250" t="str">
        <f t="shared" ca="1" si="0"/>
        <v>DE</v>
      </c>
      <c r="T10" s="250" t="str">
        <f ca="1">IF(B10="","",IF(ISERROR(MATCH($J10,SorP!$B$1:$B$6230,0)),"",INDIRECT("'SorP'!$A$"&amp;MATCH($J10,SorP!$B$1:$B$6230,0))))</f>
        <v>DE-BW</v>
      </c>
      <c r="U10" s="280"/>
      <c r="V10" s="281">
        <f ca="1">IF(C10="",NA(),MATCH($B10&amp;$C10,'Smelter Look-up'!$J:$J,0))</f>
        <v>35</v>
      </c>
      <c r="W10" s="282"/>
      <c r="X10" s="282">
        <f t="shared" ca="1" si="1"/>
        <v>0</v>
      </c>
      <c r="Y10" s="282"/>
      <c r="Z10" s="282"/>
      <c r="AB10" s="284" t="str">
        <f t="shared" ca="1" si="2"/>
        <v>GoldC. Hafner GmbH + Co. KG</v>
      </c>
    </row>
    <row r="11" spans="1:34" s="283" customFormat="1" ht="38.25">
      <c r="A11" s="235" t="s">
        <v>763</v>
      </c>
      <c r="B11" s="236" t="str">
        <f ca="1">IF(LEN(A11)=0,"",INDEX('Smelter Look-up'!$A:$A,MATCH($A11,'Smelter Look-up'!$E:$E,0)))</f>
        <v>Gold</v>
      </c>
      <c r="C11" s="242" t="str">
        <f ca="1">IF(LEN(A11)=0,"",INDEX('Smelter Look-up'!$C:$C,MATCH($A11,'Smelter Look-up'!$E:$E,0)))</f>
        <v>Chimet S.p.A.</v>
      </c>
      <c r="D11" s="236"/>
      <c r="E11" s="236" t="str">
        <f ca="1">IF(ISERROR($V11),"",OFFSET('Smelter Look-up'!$D$4,$V11-4,0)&amp;"")</f>
        <v>ITALY</v>
      </c>
      <c r="F11" s="236" t="str">
        <f ca="1">IF(ISERROR($V11),"",OFFSET('Smelter Look-up'!$E$4,$V11-4,0))</f>
        <v>CID000233</v>
      </c>
      <c r="G11" s="236" t="str">
        <f ca="1">IF(C11=$X$4,"Enter smelter details", IF(ISERROR($V11),"",OFFSET('Smelter Look-up'!$F$4,$V11-4,0)))</f>
        <v>RMI</v>
      </c>
      <c r="H11" s="237">
        <f ca="1">IF(ISERROR($V11),"",OFFSET('Smelter Look-up'!$G$4,$V11-4,0))</f>
        <v>0</v>
      </c>
      <c r="I11" s="238" t="str">
        <f ca="1">IF(ISERROR($V11),"",OFFSET('Smelter Look-up'!$H$4,$V11-4,0))</f>
        <v>Arezzo</v>
      </c>
      <c r="J11" s="238" t="str">
        <f ca="1">IF(ISERROR($V11),"",OFFSET('Smelter Look-up'!$I$4,$V11-4,0))</f>
        <v>Toscana</v>
      </c>
      <c r="K11" s="240"/>
      <c r="L11" s="240"/>
      <c r="M11" s="240"/>
      <c r="N11" s="240"/>
      <c r="O11" s="240"/>
      <c r="P11" s="239"/>
      <c r="Q11" s="241" t="s">
        <v>15468</v>
      </c>
      <c r="R11" s="236" t="str">
        <f ca="1">IF(ISERROR($V11),"",OFFSET('Smelter Look-up'!$C$4,$V11-4,0)&amp;"")</f>
        <v>Chimet S.p.A.</v>
      </c>
      <c r="S11" s="250" t="str">
        <f t="shared" ca="1" si="0"/>
        <v>IT</v>
      </c>
      <c r="T11" s="250" t="str">
        <f ca="1">IF(B11="","",IF(ISERROR(MATCH($J11,SorP!$B$1:$B$6230,0)),"",INDIRECT("'SorP'!$A$"&amp;MATCH($J11,SorP!$B$1:$B$6230,0))))</f>
        <v>IT-52</v>
      </c>
      <c r="U11" s="280"/>
      <c r="V11" s="281">
        <f ca="1">IF(C11="",NA(),MATCH($B11&amp;$C11,'Smelter Look-up'!$J:$J,0))</f>
        <v>44</v>
      </c>
      <c r="W11" s="282"/>
      <c r="X11" s="282">
        <f t="shared" ca="1" si="1"/>
        <v>0</v>
      </c>
      <c r="Y11" s="282"/>
      <c r="Z11" s="282"/>
      <c r="AB11" s="284" t="str">
        <f t="shared" ca="1" si="2"/>
        <v>GoldChimet S.p.A.</v>
      </c>
    </row>
    <row r="12" spans="1:34" s="283" customFormat="1" ht="25.5">
      <c r="A12" s="235" t="s">
        <v>771</v>
      </c>
      <c r="B12" s="236" t="str">
        <f ca="1">IF(LEN(A12)=0,"",INDEX('Smelter Look-up'!$A:$A,MATCH($A12,'Smelter Look-up'!$E:$E,0)))</f>
        <v>Gold</v>
      </c>
      <c r="C12" s="242" t="str">
        <f ca="1">IF(LEN(A12)=0,"",INDEX('Smelter Look-up'!$C:$C,MATCH($A12,'Smelter Look-up'!$E:$E,0)))</f>
        <v>Dowa</v>
      </c>
      <c r="D12" s="236"/>
      <c r="E12" s="236" t="str">
        <f ca="1">IF(ISERROR($V12),"",OFFSET('Smelter Look-up'!$D$4,$V12-4,0)&amp;"")</f>
        <v>JAPAN</v>
      </c>
      <c r="F12" s="236" t="str">
        <f ca="1">IF(ISERROR($V12),"",OFFSET('Smelter Look-up'!$E$4,$V12-4,0))</f>
        <v>CID000401</v>
      </c>
      <c r="G12" s="236" t="str">
        <f ca="1">IF(C12=$X$4,"Enter smelter details", IF(ISERROR($V12),"",OFFSET('Smelter Look-up'!$F$4,$V12-4,0)))</f>
        <v>RMI</v>
      </c>
      <c r="H12" s="237">
        <f ca="1">IF(ISERROR($V12),"",OFFSET('Smelter Look-up'!$G$4,$V12-4,0))</f>
        <v>0</v>
      </c>
      <c r="I12" s="238" t="str">
        <f ca="1">IF(ISERROR($V12),"",OFFSET('Smelter Look-up'!$H$4,$V12-4,0))</f>
        <v>Kosaka</v>
      </c>
      <c r="J12" s="238" t="str">
        <f ca="1">IF(ISERROR($V12),"",OFFSET('Smelter Look-up'!$I$4,$V12-4,0))</f>
        <v>Akita</v>
      </c>
      <c r="K12" s="240"/>
      <c r="L12" s="240"/>
      <c r="M12" s="240"/>
      <c r="N12" s="240"/>
      <c r="O12" s="240"/>
      <c r="P12" s="239"/>
      <c r="Q12" s="241" t="s">
        <v>15468</v>
      </c>
      <c r="R12" s="236" t="str">
        <f ca="1">IF(ISERROR($V12),"",OFFSET('Smelter Look-up'!$C$4,$V12-4,0)&amp;"")</f>
        <v>Dowa</v>
      </c>
      <c r="S12" s="250" t="str">
        <f t="shared" ca="1" si="0"/>
        <v>JP</v>
      </c>
      <c r="T12" s="250" t="str">
        <f ca="1">IF(B12="","",IF(ISERROR(MATCH($J12,SorP!$B$1:$B$6230,0)),"",INDIRECT("'SorP'!$A$"&amp;MATCH($J12,SorP!$B$1:$B$6230,0))))</f>
        <v>JP-05</v>
      </c>
      <c r="U12" s="280"/>
      <c r="V12" s="281">
        <f ca="1">IF(C12="",NA(),MATCH($B12&amp;$C12,'Smelter Look-up'!$J:$J,0))</f>
        <v>57</v>
      </c>
      <c r="W12" s="282"/>
      <c r="X12" s="282">
        <f t="shared" ca="1" si="1"/>
        <v>0</v>
      </c>
      <c r="Y12" s="282"/>
      <c r="Z12" s="282"/>
      <c r="AB12" s="284" t="str">
        <f t="shared" ca="1" si="2"/>
        <v>GoldDowa</v>
      </c>
    </row>
    <row r="13" spans="1:34" s="283" customFormat="1" ht="51">
      <c r="A13" s="235" t="s">
        <v>776</v>
      </c>
      <c r="B13" s="236" t="str">
        <f ca="1">IF(LEN(A13)=0,"",INDEX('Smelter Look-up'!$A:$A,MATCH($A13,'Smelter Look-up'!$E:$E,0)))</f>
        <v>Gold</v>
      </c>
      <c r="C13" s="242" t="str">
        <f ca="1">IF(LEN(A13)=0,"",INDEX('Smelter Look-up'!$C:$C,MATCH($A13,'Smelter Look-up'!$E:$E,0)))</f>
        <v>Heimerle + Meule GmbH</v>
      </c>
      <c r="D13" s="236"/>
      <c r="E13" s="236" t="str">
        <f ca="1">IF(ISERROR($V13),"",OFFSET('Smelter Look-up'!$D$4,$V13-4,0)&amp;"")</f>
        <v>GERMANY</v>
      </c>
      <c r="F13" s="236" t="str">
        <f ca="1">IF(ISERROR($V13),"",OFFSET('Smelter Look-up'!$E$4,$V13-4,0))</f>
        <v>CID000694</v>
      </c>
      <c r="G13" s="236" t="str">
        <f ca="1">IF(C13=$X$4,"Enter smelter details", IF(ISERROR($V13),"",OFFSET('Smelter Look-up'!$F$4,$V13-4,0)))</f>
        <v>RMI</v>
      </c>
      <c r="H13" s="237">
        <f ca="1">IF(ISERROR($V13),"",OFFSET('Smelter Look-up'!$G$4,$V13-4,0))</f>
        <v>0</v>
      </c>
      <c r="I13" s="238" t="str">
        <f ca="1">IF(ISERROR($V13),"",OFFSET('Smelter Look-up'!$H$4,$V13-4,0))</f>
        <v>Pforzheim</v>
      </c>
      <c r="J13" s="238" t="str">
        <f ca="1">IF(ISERROR($V13),"",OFFSET('Smelter Look-up'!$I$4,$V13-4,0))</f>
        <v>Baden-Württemberg</v>
      </c>
      <c r="K13" s="240"/>
      <c r="L13" s="240"/>
      <c r="M13" s="240"/>
      <c r="N13" s="240"/>
      <c r="O13" s="240"/>
      <c r="P13" s="239"/>
      <c r="Q13" s="241" t="s">
        <v>15468</v>
      </c>
      <c r="R13" s="236" t="str">
        <f ca="1">IF(ISERROR($V13),"",OFFSET('Smelter Look-up'!$C$4,$V13-4,0)&amp;"")</f>
        <v>Heimerle + Meule GmbH</v>
      </c>
      <c r="S13" s="250" t="str">
        <f t="shared" ca="1" si="0"/>
        <v>DE</v>
      </c>
      <c r="T13" s="250" t="str">
        <f ca="1">IF(B13="","",IF(ISERROR(MATCH($J13,SorP!$B$1:$B$6230,0)),"",INDIRECT("'SorP'!$A$"&amp;MATCH($J13,SorP!$B$1:$B$6230,0))))</f>
        <v>DE-BW</v>
      </c>
      <c r="U13" s="280"/>
      <c r="V13" s="281">
        <f ca="1">IF(C13="",NA(),MATCH($B13&amp;$C13,'Smelter Look-up'!$J:$J,0))</f>
        <v>82</v>
      </c>
      <c r="W13" s="282"/>
      <c r="X13" s="282">
        <f t="shared" ca="1" si="1"/>
        <v>0</v>
      </c>
      <c r="Y13" s="282"/>
      <c r="Z13" s="282"/>
      <c r="AB13" s="284" t="str">
        <f t="shared" ca="1" si="2"/>
        <v>GoldHeimerle + Meule GmbH</v>
      </c>
    </row>
    <row r="14" spans="1:34" s="283" customFormat="1" ht="76.5">
      <c r="A14" s="235" t="s">
        <v>777</v>
      </c>
      <c r="B14" s="236" t="str">
        <f ca="1">IF(LEN(A14)=0,"",INDEX('Smelter Look-up'!$A:$A,MATCH($A14,'Smelter Look-up'!$E:$E,0)))</f>
        <v>Gold</v>
      </c>
      <c r="C14" s="242" t="str">
        <f ca="1">IF(LEN(A14)=0,"",INDEX('Smelter Look-up'!$C:$C,MATCH($A14,'Smelter Look-up'!$E:$E,0)))</f>
        <v>Heraeus Metals Hong Kong Ltd.</v>
      </c>
      <c r="D14" s="236"/>
      <c r="E14" s="236" t="str">
        <f ca="1">IF(ISERROR($V14),"",OFFSET('Smelter Look-up'!$D$4,$V14-4,0)&amp;"")</f>
        <v>CHINA</v>
      </c>
      <c r="F14" s="236" t="str">
        <f ca="1">IF(ISERROR($V14),"",OFFSET('Smelter Look-up'!$E$4,$V14-4,0))</f>
        <v>CID000707</v>
      </c>
      <c r="G14" s="236" t="str">
        <f ca="1">IF(C14=$X$4,"Enter smelter details", IF(ISERROR($V14),"",OFFSET('Smelter Look-up'!$F$4,$V14-4,0)))</f>
        <v>RMI</v>
      </c>
      <c r="H14" s="237">
        <f ca="1">IF(ISERROR($V14),"",OFFSET('Smelter Look-up'!$G$4,$V14-4,0))</f>
        <v>0</v>
      </c>
      <c r="I14" s="238" t="str">
        <f ca="1">IF(ISERROR($V14),"",OFFSET('Smelter Look-up'!$H$4,$V14-4,0))</f>
        <v>Fanling</v>
      </c>
      <c r="J14" s="238" t="str">
        <f ca="1">IF(ISERROR($V14),"",OFFSET('Smelter Look-up'!$I$4,$V14-4,0))</f>
        <v>Hong Kong</v>
      </c>
      <c r="K14" s="240"/>
      <c r="L14" s="240"/>
      <c r="M14" s="240"/>
      <c r="N14" s="240"/>
      <c r="O14" s="240"/>
      <c r="P14" s="239"/>
      <c r="Q14" s="241" t="s">
        <v>15468</v>
      </c>
      <c r="R14" s="236" t="str">
        <f ca="1">IF(ISERROR($V14),"",OFFSET('Smelter Look-up'!$C$4,$V14-4,0)&amp;"")</f>
        <v>Heraeus Metals Hong Kong Ltd.</v>
      </c>
      <c r="S14" s="250" t="str">
        <f t="shared" ca="1" si="0"/>
        <v>CN</v>
      </c>
      <c r="T14" s="250" t="str">
        <f ca="1">IF(B14="","",IF(ISERROR(MATCH($J14,SorP!$B$1:$B$6230,0)),"",INDIRECT("'SorP'!$A$"&amp;MATCH($J14,SorP!$B$1:$B$6230,0))))</f>
        <v>CN-91</v>
      </c>
      <c r="U14" s="280"/>
      <c r="V14" s="281">
        <f ca="1">IF(C14="",NA(),MATCH($B14&amp;$C14,'Smelter Look-up'!$J:$J,0))</f>
        <v>87</v>
      </c>
      <c r="W14" s="282"/>
      <c r="X14" s="282">
        <f t="shared" ca="1" si="1"/>
        <v>0</v>
      </c>
      <c r="Y14" s="282"/>
      <c r="Z14" s="282"/>
      <c r="AB14" s="284" t="str">
        <f t="shared" ca="1" si="2"/>
        <v>GoldHeraeus Metals Hong Kong Ltd.</v>
      </c>
    </row>
    <row r="15" spans="1:34" s="283" customFormat="1" ht="76.5">
      <c r="A15" s="235" t="s">
        <v>778</v>
      </c>
      <c r="B15" s="236" t="str">
        <f ca="1">IF(LEN(A15)=0,"",INDEX('Smelter Look-up'!$A:$A,MATCH($A15,'Smelter Look-up'!$E:$E,0)))</f>
        <v>Gold</v>
      </c>
      <c r="C15" s="242" t="str">
        <f ca="1">IF(LEN(A15)=0,"",INDEX('Smelter Look-up'!$C:$C,MATCH($A15,'Smelter Look-up'!$E:$E,0)))</f>
        <v>Heraeus Precious Metals GmbH &amp; Co. KG</v>
      </c>
      <c r="D15" s="236"/>
      <c r="E15" s="236" t="str">
        <f ca="1">IF(ISERROR($V15),"",OFFSET('Smelter Look-up'!$D$4,$V15-4,0)&amp;"")</f>
        <v>GERMANY</v>
      </c>
      <c r="F15" s="236" t="str">
        <f ca="1">IF(ISERROR($V15),"",OFFSET('Smelter Look-up'!$E$4,$V15-4,0))</f>
        <v>CID000711</v>
      </c>
      <c r="G15" s="236" t="str">
        <f ca="1">IF(C15=$X$4,"Enter smelter details", IF(ISERROR($V15),"",OFFSET('Smelter Look-up'!$F$4,$V15-4,0)))</f>
        <v>RMI</v>
      </c>
      <c r="H15" s="237">
        <f ca="1">IF(ISERROR($V15),"",OFFSET('Smelter Look-up'!$G$4,$V15-4,0))</f>
        <v>0</v>
      </c>
      <c r="I15" s="238" t="str">
        <f ca="1">IF(ISERROR($V15),"",OFFSET('Smelter Look-up'!$H$4,$V15-4,0))</f>
        <v>Hanau</v>
      </c>
      <c r="J15" s="238" t="str">
        <f ca="1">IF(ISERROR($V15),"",OFFSET('Smelter Look-up'!$I$4,$V15-4,0))</f>
        <v>Hessen</v>
      </c>
      <c r="K15" s="240"/>
      <c r="L15" s="240"/>
      <c r="M15" s="240"/>
      <c r="N15" s="240"/>
      <c r="O15" s="240"/>
      <c r="P15" s="239"/>
      <c r="Q15" s="241" t="s">
        <v>15468</v>
      </c>
      <c r="R15" s="236" t="str">
        <f ca="1">IF(ISERROR($V15),"",OFFSET('Smelter Look-up'!$C$4,$V15-4,0)&amp;"")</f>
        <v>Heraeus Precious Metals GmbH &amp; Co. KG</v>
      </c>
      <c r="S15" s="250" t="str">
        <f t="shared" ca="1" si="0"/>
        <v>DE</v>
      </c>
      <c r="T15" s="250" t="str">
        <f ca="1">IF(B15="","",IF(ISERROR(MATCH($J15,SorP!$B$1:$B$6230,0)),"",INDIRECT("'SorP'!$A$"&amp;MATCH($J15,SorP!$B$1:$B$6230,0))))</f>
        <v>DE-HE</v>
      </c>
      <c r="U15" s="280"/>
      <c r="V15" s="281">
        <f ca="1">IF(C15="",NA(),MATCH($B15&amp;$C15,'Smelter Look-up'!$J:$J,0))</f>
        <v>88</v>
      </c>
      <c r="W15" s="282"/>
      <c r="X15" s="282">
        <f t="shared" ca="1" si="1"/>
        <v>0</v>
      </c>
      <c r="Y15" s="282"/>
      <c r="Z15" s="282"/>
      <c r="AB15" s="284" t="str">
        <f t="shared" ca="1" si="2"/>
        <v>GoldHeraeus Precious Metals GmbH &amp; Co. KG</v>
      </c>
    </row>
    <row r="16" spans="1:34" s="283" customFormat="1" ht="51">
      <c r="A16" s="235" t="s">
        <v>783</v>
      </c>
      <c r="B16" s="236" t="str">
        <f ca="1">IF(LEN(A16)=0,"",INDEX('Smelter Look-up'!$A:$A,MATCH($A16,'Smelter Look-up'!$E:$E,0)))</f>
        <v>Gold</v>
      </c>
      <c r="C16" s="242" t="str">
        <f ca="1">IF(LEN(A16)=0,"",INDEX('Smelter Look-up'!$C:$C,MATCH($A16,'Smelter Look-up'!$E:$E,0)))</f>
        <v>Istanbul Gold Refinery</v>
      </c>
      <c r="D16" s="236"/>
      <c r="E16" s="236" t="str">
        <f ca="1">IF(ISERROR($V16),"",OFFSET('Smelter Look-up'!$D$4,$V16-4,0)&amp;"")</f>
        <v>TURKEY</v>
      </c>
      <c r="F16" s="236" t="str">
        <f ca="1">IF(ISERROR($V16),"",OFFSET('Smelter Look-up'!$E$4,$V16-4,0))</f>
        <v>CID000814</v>
      </c>
      <c r="G16" s="236" t="str">
        <f ca="1">IF(C16=$X$4,"Enter smelter details", IF(ISERROR($V16),"",OFFSET('Smelter Look-up'!$F$4,$V16-4,0)))</f>
        <v>RMI</v>
      </c>
      <c r="H16" s="237">
        <f ca="1">IF(ISERROR($V16),"",OFFSET('Smelter Look-up'!$G$4,$V16-4,0))</f>
        <v>0</v>
      </c>
      <c r="I16" s="238" t="str">
        <f ca="1">IF(ISERROR($V16),"",OFFSET('Smelter Look-up'!$H$4,$V16-4,0))</f>
        <v>Kuyumcukent</v>
      </c>
      <c r="J16" s="238" t="str">
        <f ca="1">IF(ISERROR($V16),"",OFFSET('Smelter Look-up'!$I$4,$V16-4,0))</f>
        <v>İstanbul</v>
      </c>
      <c r="K16" s="240"/>
      <c r="L16" s="240"/>
      <c r="M16" s="240"/>
      <c r="N16" s="240"/>
      <c r="O16" s="240"/>
      <c r="P16" s="239"/>
      <c r="Q16" s="241" t="s">
        <v>15468</v>
      </c>
      <c r="R16" s="236" t="str">
        <f ca="1">IF(ISERROR($V16),"",OFFSET('Smelter Look-up'!$C$4,$V16-4,0)&amp;"")</f>
        <v>Istanbul Gold Refinery</v>
      </c>
      <c r="S16" s="250" t="str">
        <f t="shared" ca="1" si="0"/>
        <v>TR</v>
      </c>
      <c r="T16" s="250" t="str">
        <f ca="1">IF(B16="","",IF(ISERROR(MATCH($J16,SorP!$B$1:$B$6230,0)),"",INDIRECT("'SorP'!$A$"&amp;MATCH($J16,SorP!$B$1:$B$6230,0))))</f>
        <v>TR-34</v>
      </c>
      <c r="U16" s="280"/>
      <c r="V16" s="281">
        <f ca="1">IF(C16="",NA(),MATCH($B16&amp;$C16,'Smelter Look-up'!$J:$J,0))</f>
        <v>97</v>
      </c>
      <c r="W16" s="282"/>
      <c r="X16" s="282">
        <f t="shared" ca="1" si="1"/>
        <v>0</v>
      </c>
      <c r="Y16" s="282"/>
      <c r="Z16" s="282"/>
      <c r="AB16" s="284" t="str">
        <f t="shared" ca="1" si="2"/>
        <v>GoldIstanbul Gold Refinery</v>
      </c>
    </row>
    <row r="17" spans="1:28" s="283" customFormat="1" ht="63.75">
      <c r="A17" s="235" t="s">
        <v>786</v>
      </c>
      <c r="B17" s="236" t="str">
        <f ca="1">IF(LEN(A17)=0,"",INDEX('Smelter Look-up'!$A:$A,MATCH($A17,'Smelter Look-up'!$E:$E,0)))</f>
        <v>Gold</v>
      </c>
      <c r="C17" s="242" t="str">
        <f ca="1">IF(LEN(A17)=0,"",INDEX('Smelter Look-up'!$C:$C,MATCH($A17,'Smelter Look-up'!$E:$E,0)))</f>
        <v>Asahi Refining USA Inc.</v>
      </c>
      <c r="D17" s="236"/>
      <c r="E17" s="236" t="str">
        <f ca="1">IF(ISERROR($V17),"",OFFSET('Smelter Look-up'!$D$4,$V17-4,0)&amp;"")</f>
        <v>UNITED STATES OF AMERICA</v>
      </c>
      <c r="F17" s="236" t="str">
        <f ca="1">IF(ISERROR($V17),"",OFFSET('Smelter Look-up'!$E$4,$V17-4,0))</f>
        <v>CID000920</v>
      </c>
      <c r="G17" s="236" t="str">
        <f ca="1">IF(C17=$X$4,"Enter smelter details", IF(ISERROR($V17),"",OFFSET('Smelter Look-up'!$F$4,$V17-4,0)))</f>
        <v>RMI</v>
      </c>
      <c r="H17" s="237">
        <f ca="1">IF(ISERROR($V17),"",OFFSET('Smelter Look-up'!$G$4,$V17-4,0))</f>
        <v>0</v>
      </c>
      <c r="I17" s="238" t="str">
        <f ca="1">IF(ISERROR($V17),"",OFFSET('Smelter Look-up'!$H$4,$V17-4,0))</f>
        <v>Salt Lake City</v>
      </c>
      <c r="J17" s="238" t="str">
        <f ca="1">IF(ISERROR($V17),"",OFFSET('Smelter Look-up'!$I$4,$V17-4,0))</f>
        <v>Utah</v>
      </c>
      <c r="K17" s="240"/>
      <c r="L17" s="240"/>
      <c r="M17" s="240"/>
      <c r="N17" s="240"/>
      <c r="O17" s="240"/>
      <c r="P17" s="239"/>
      <c r="Q17" s="241" t="s">
        <v>15468</v>
      </c>
      <c r="R17" s="236" t="str">
        <f ca="1">IF(ISERROR($V17),"",OFFSET('Smelter Look-up'!$C$4,$V17-4,0)&amp;"")</f>
        <v>Asahi Refining USA Inc.</v>
      </c>
      <c r="S17" s="250" t="str">
        <f t="shared" ca="1" si="0"/>
        <v>US</v>
      </c>
      <c r="T17" s="250" t="str">
        <f ca="1">IF(B17="","",IF(ISERROR(MATCH($J17,SorP!$B$1:$B$6230,0)),"",INDIRECT("'SorP'!$A$"&amp;MATCH($J17,SorP!$B$1:$B$6230,0))))</f>
        <v>US-UT</v>
      </c>
      <c r="U17" s="280"/>
      <c r="V17" s="281">
        <f ca="1">IF(C17="",NA(),MATCH($B17&amp;$C17,'Smelter Look-up'!$J:$J,0))</f>
        <v>24</v>
      </c>
      <c r="W17" s="282"/>
      <c r="X17" s="282">
        <f t="shared" ca="1" si="1"/>
        <v>0</v>
      </c>
      <c r="Y17" s="282"/>
      <c r="Z17" s="282"/>
      <c r="AB17" s="284" t="str">
        <f t="shared" ca="1" si="2"/>
        <v>GoldAsahi Refining USA Inc.</v>
      </c>
    </row>
    <row r="18" spans="1:28" s="283" customFormat="1" ht="63.75">
      <c r="A18" s="235" t="s">
        <v>787</v>
      </c>
      <c r="B18" s="236" t="str">
        <f ca="1">IF(LEN(A18)=0,"",INDEX('Smelter Look-up'!$A:$A,MATCH($A18,'Smelter Look-up'!$E:$E,0)))</f>
        <v>Gold</v>
      </c>
      <c r="C18" s="242" t="str">
        <f ca="1">IF(LEN(A18)=0,"",INDEX('Smelter Look-up'!$C:$C,MATCH($A18,'Smelter Look-up'!$E:$E,0)))</f>
        <v>Asahi Refining Canada Ltd.</v>
      </c>
      <c r="D18" s="236"/>
      <c r="E18" s="236" t="str">
        <f ca="1">IF(ISERROR($V18),"",OFFSET('Smelter Look-up'!$D$4,$V18-4,0)&amp;"")</f>
        <v>CANADA</v>
      </c>
      <c r="F18" s="236" t="str">
        <f ca="1">IF(ISERROR($V18),"",OFFSET('Smelter Look-up'!$E$4,$V18-4,0))</f>
        <v>CID000924</v>
      </c>
      <c r="G18" s="236" t="str">
        <f ca="1">IF(C18=$X$4,"Enter smelter details", IF(ISERROR($V18),"",OFFSET('Smelter Look-up'!$F$4,$V18-4,0)))</f>
        <v>RMI</v>
      </c>
      <c r="H18" s="237">
        <f ca="1">IF(ISERROR($V18),"",OFFSET('Smelter Look-up'!$G$4,$V18-4,0))</f>
        <v>0</v>
      </c>
      <c r="I18" s="238" t="str">
        <f ca="1">IF(ISERROR($V18),"",OFFSET('Smelter Look-up'!$H$4,$V18-4,0))</f>
        <v>Brampton</v>
      </c>
      <c r="J18" s="238" t="str">
        <f ca="1">IF(ISERROR($V18),"",OFFSET('Smelter Look-up'!$I$4,$V18-4,0))</f>
        <v>Ontario</v>
      </c>
      <c r="K18" s="240"/>
      <c r="L18" s="240"/>
      <c r="M18" s="240"/>
      <c r="N18" s="240"/>
      <c r="O18" s="240"/>
      <c r="P18" s="239"/>
      <c r="Q18" s="241" t="s">
        <v>15468</v>
      </c>
      <c r="R18" s="236" t="str">
        <f ca="1">IF(ISERROR($V18),"",OFFSET('Smelter Look-up'!$C$4,$V18-4,0)&amp;"")</f>
        <v>Asahi Refining Canada Ltd.</v>
      </c>
      <c r="S18" s="250" t="str">
        <f t="shared" ca="1" si="0"/>
        <v>CA</v>
      </c>
      <c r="T18" s="250" t="str">
        <f ca="1">IF(B18="","",IF(ISERROR(MATCH($J18,SorP!$B$1:$B$6230,0)),"",INDIRECT("'SorP'!$A$"&amp;MATCH($J18,SorP!$B$1:$B$6230,0))))</f>
        <v>CA-ON</v>
      </c>
      <c r="U18" s="280"/>
      <c r="V18" s="281">
        <f ca="1">IF(C18="",NA(),MATCH($B18&amp;$C18,'Smelter Look-up'!$J:$J,0))</f>
        <v>23</v>
      </c>
      <c r="W18" s="282"/>
      <c r="X18" s="282">
        <f t="shared" ca="1" si="1"/>
        <v>0</v>
      </c>
      <c r="Y18" s="282"/>
      <c r="Z18" s="282"/>
      <c r="AB18" s="284" t="str">
        <f t="shared" ca="1" si="2"/>
        <v>GoldAsahi Refining Canada Ltd.</v>
      </c>
    </row>
    <row r="19" spans="1:28" s="283" customFormat="1" ht="63.75">
      <c r="A19" s="235" t="s">
        <v>793</v>
      </c>
      <c r="B19" s="236" t="str">
        <f ca="1">IF(LEN(A19)=0,"",INDEX('Smelter Look-up'!$A:$A,MATCH($A19,'Smelter Look-up'!$E:$E,0)))</f>
        <v>Gold</v>
      </c>
      <c r="C19" s="242" t="str">
        <f ca="1">IF(LEN(A19)=0,"",INDEX('Smelter Look-up'!$C:$C,MATCH($A19,'Smelter Look-up'!$E:$E,0)))</f>
        <v>Kennecott Utah Copper LLC</v>
      </c>
      <c r="D19" s="236"/>
      <c r="E19" s="236" t="str">
        <f ca="1">IF(ISERROR($V19),"",OFFSET('Smelter Look-up'!$D$4,$V19-4,0)&amp;"")</f>
        <v>UNITED STATES OF AMERICA</v>
      </c>
      <c r="F19" s="236" t="str">
        <f ca="1">IF(ISERROR($V19),"",OFFSET('Smelter Look-up'!$E$4,$V19-4,0))</f>
        <v>CID000969</v>
      </c>
      <c r="G19" s="236" t="str">
        <f ca="1">IF(C19=$X$4,"Enter smelter details", IF(ISERROR($V19),"",OFFSET('Smelter Look-up'!$F$4,$V19-4,0)))</f>
        <v>RMI</v>
      </c>
      <c r="H19" s="237">
        <f ca="1">IF(ISERROR($V19),"",OFFSET('Smelter Look-up'!$G$4,$V19-4,0))</f>
        <v>0</v>
      </c>
      <c r="I19" s="238" t="str">
        <f ca="1">IF(ISERROR($V19),"",OFFSET('Smelter Look-up'!$H$4,$V19-4,0))</f>
        <v>Magna</v>
      </c>
      <c r="J19" s="238" t="str">
        <f ca="1">IF(ISERROR($V19),"",OFFSET('Smelter Look-up'!$I$4,$V19-4,0))</f>
        <v>Utah</v>
      </c>
      <c r="K19" s="240"/>
      <c r="L19" s="240"/>
      <c r="M19" s="240"/>
      <c r="N19" s="240"/>
      <c r="O19" s="240"/>
      <c r="P19" s="239"/>
      <c r="Q19" s="241" t="s">
        <v>15468</v>
      </c>
      <c r="R19" s="236" t="str">
        <f ca="1">IF(ISERROR($V19),"",OFFSET('Smelter Look-up'!$C$4,$V19-4,0)&amp;"")</f>
        <v>Kennecott Utah Copper LLC</v>
      </c>
      <c r="S19" s="250" t="str">
        <f t="shared" ca="1" si="0"/>
        <v>US</v>
      </c>
      <c r="T19" s="250" t="str">
        <f ca="1">IF(B19="","",IF(ISERROR(MATCH($J19,SorP!$B$1:$B$6230,0)),"",INDIRECT("'SorP'!$A$"&amp;MATCH($J19,SorP!$B$1:$B$6230,0))))</f>
        <v>US-UT</v>
      </c>
      <c r="U19" s="280"/>
      <c r="V19" s="281">
        <f ca="1">IF(C19="",NA(),MATCH($B19&amp;$C19,'Smelter Look-up'!$J:$J,0))</f>
        <v>112</v>
      </c>
      <c r="W19" s="282"/>
      <c r="X19" s="282">
        <f t="shared" ca="1" si="1"/>
        <v>0</v>
      </c>
      <c r="Y19" s="282"/>
      <c r="Z19" s="282"/>
      <c r="AB19" s="284" t="str">
        <f t="shared" ca="1" si="2"/>
        <v>GoldKennecott Utah Copper LLC</v>
      </c>
    </row>
    <row r="20" spans="1:28" s="283" customFormat="1" ht="89.25">
      <c r="A20" s="235" t="s">
        <v>803</v>
      </c>
      <c r="B20" s="236" t="str">
        <f ca="1">IF(LEN(A20)=0,"",INDEX('Smelter Look-up'!$A:$A,MATCH($A20,'Smelter Look-up'!$E:$E,0)))</f>
        <v>Gold</v>
      </c>
      <c r="C20" s="242" t="str">
        <f ca="1">IF(LEN(A20)=0,"",INDEX('Smelter Look-up'!$C:$C,MATCH($A20,'Smelter Look-up'!$E:$E,0)))</f>
        <v>Metalor Technologies (Hong Kong) Ltd.</v>
      </c>
      <c r="D20" s="236"/>
      <c r="E20" s="236" t="str">
        <f ca="1">IF(ISERROR($V20),"",OFFSET('Smelter Look-up'!$D$4,$V20-4,0)&amp;"")</f>
        <v>CHINA</v>
      </c>
      <c r="F20" s="236" t="str">
        <f ca="1">IF(ISERROR($V20),"",OFFSET('Smelter Look-up'!$E$4,$V20-4,0))</f>
        <v>CID001149</v>
      </c>
      <c r="G20" s="236" t="str">
        <f ca="1">IF(C20=$X$4,"Enter smelter details", IF(ISERROR($V20),"",OFFSET('Smelter Look-up'!$F$4,$V20-4,0)))</f>
        <v>RMI</v>
      </c>
      <c r="H20" s="237">
        <f ca="1">IF(ISERROR($V20),"",OFFSET('Smelter Look-up'!$G$4,$V20-4,0))</f>
        <v>0</v>
      </c>
      <c r="I20" s="238" t="str">
        <f ca="1">IF(ISERROR($V20),"",OFFSET('Smelter Look-up'!$H$4,$V20-4,0))</f>
        <v>Kwai Chung</v>
      </c>
      <c r="J20" s="238" t="str">
        <f ca="1">IF(ISERROR($V20),"",OFFSET('Smelter Look-up'!$I$4,$V20-4,0))</f>
        <v>Hong Kong</v>
      </c>
      <c r="K20" s="240"/>
      <c r="L20" s="240"/>
      <c r="M20" s="240"/>
      <c r="N20" s="240"/>
      <c r="O20" s="240"/>
      <c r="P20" s="239"/>
      <c r="Q20" s="241" t="s">
        <v>15468</v>
      </c>
      <c r="R20" s="236" t="str">
        <f ca="1">IF(ISERROR($V20),"",OFFSET('Smelter Look-up'!$C$4,$V20-4,0)&amp;"")</f>
        <v>Metalor Technologies (Hong Kong) Ltd.</v>
      </c>
      <c r="S20" s="250" t="str">
        <f t="shared" ca="1" si="0"/>
        <v>CN</v>
      </c>
      <c r="T20" s="250" t="str">
        <f ca="1">IF(B20="","",IF(ISERROR(MATCH($J20,SorP!$B$1:$B$6230,0)),"",INDIRECT("'SorP'!$A$"&amp;MATCH($J20,SorP!$B$1:$B$6230,0))))</f>
        <v>CN-91</v>
      </c>
      <c r="U20" s="280"/>
      <c r="V20" s="281">
        <f ca="1">IF(C20="",NA(),MATCH($B20&amp;$C20,'Smelter Look-up'!$J:$J,0))</f>
        <v>141</v>
      </c>
      <c r="W20" s="282"/>
      <c r="X20" s="282">
        <f t="shared" ca="1" si="1"/>
        <v>0</v>
      </c>
      <c r="Y20" s="282"/>
      <c r="Z20" s="282"/>
      <c r="AB20" s="284" t="str">
        <f t="shared" ca="1" si="2"/>
        <v>GoldMetalor Technologies (Hong Kong) Ltd.</v>
      </c>
    </row>
    <row r="21" spans="1:28" s="283" customFormat="1" ht="63.75">
      <c r="A21" s="235" t="s">
        <v>805</v>
      </c>
      <c r="B21" s="236" t="str">
        <f ca="1">IF(LEN(A21)=0,"",INDEX('Smelter Look-up'!$A:$A,MATCH($A21,'Smelter Look-up'!$E:$E,0)))</f>
        <v>Gold</v>
      </c>
      <c r="C21" s="242" t="str">
        <f ca="1">IF(LEN(A21)=0,"",INDEX('Smelter Look-up'!$C:$C,MATCH($A21,'Smelter Look-up'!$E:$E,0)))</f>
        <v>Metalor Technologies S.A.</v>
      </c>
      <c r="D21" s="236"/>
      <c r="E21" s="236" t="str">
        <f ca="1">IF(ISERROR($V21),"",OFFSET('Smelter Look-up'!$D$4,$V21-4,0)&amp;"")</f>
        <v>SWITZERLAND</v>
      </c>
      <c r="F21" s="236" t="str">
        <f ca="1">IF(ISERROR($V21),"",OFFSET('Smelter Look-up'!$E$4,$V21-4,0))</f>
        <v>CID001153</v>
      </c>
      <c r="G21" s="236" t="str">
        <f ca="1">IF(C21=$X$4,"Enter smelter details", IF(ISERROR($V21),"",OFFSET('Smelter Look-up'!$F$4,$V21-4,0)))</f>
        <v>RMI</v>
      </c>
      <c r="H21" s="237">
        <f ca="1">IF(ISERROR($V21),"",OFFSET('Smelter Look-up'!$G$4,$V21-4,0))</f>
        <v>0</v>
      </c>
      <c r="I21" s="238" t="str">
        <f ca="1">IF(ISERROR($V21),"",OFFSET('Smelter Look-up'!$H$4,$V21-4,0))</f>
        <v>Marin</v>
      </c>
      <c r="J21" s="238" t="str">
        <f ca="1">IF(ISERROR($V21),"",OFFSET('Smelter Look-up'!$I$4,$V21-4,0))</f>
        <v>Neuchâtel</v>
      </c>
      <c r="K21" s="240"/>
      <c r="L21" s="240"/>
      <c r="M21" s="240"/>
      <c r="N21" s="240"/>
      <c r="O21" s="240"/>
      <c r="P21" s="239"/>
      <c r="Q21" s="241" t="s">
        <v>15468</v>
      </c>
      <c r="R21" s="236" t="str">
        <f ca="1">IF(ISERROR($V21),"",OFFSET('Smelter Look-up'!$C$4,$V21-4,0)&amp;"")</f>
        <v>Metalor Technologies S.A.</v>
      </c>
      <c r="S21" s="250" t="str">
        <f t="shared" ca="1" si="0"/>
        <v>CH</v>
      </c>
      <c r="T21" s="250" t="str">
        <f ca="1">IF(B21="","",IF(ISERROR(MATCH($J21,SorP!$B$1:$B$6230,0)),"",INDIRECT("'SorP'!$A$"&amp;MATCH($J21,SorP!$B$1:$B$6230,0))))</f>
        <v>CH-NE</v>
      </c>
      <c r="U21" s="280"/>
      <c r="V21" s="281">
        <f ca="1">IF(C21="",NA(),MATCH($B21&amp;$C21,'Smelter Look-up'!$J:$J,0))</f>
        <v>144</v>
      </c>
      <c r="W21" s="282"/>
      <c r="X21" s="282">
        <f t="shared" ca="1" si="1"/>
        <v>0</v>
      </c>
      <c r="Y21" s="282"/>
      <c r="Z21" s="282"/>
      <c r="AB21" s="284" t="str">
        <f t="shared" ca="1" si="2"/>
        <v>GoldMetalor Technologies S.A.</v>
      </c>
    </row>
    <row r="22" spans="1:28" s="283" customFormat="1" ht="63.75">
      <c r="A22" s="235" t="s">
        <v>806</v>
      </c>
      <c r="B22" s="236" t="str">
        <f ca="1">IF(LEN(A22)=0,"",INDEX('Smelter Look-up'!$A:$A,MATCH($A22,'Smelter Look-up'!$E:$E,0)))</f>
        <v>Gold</v>
      </c>
      <c r="C22" s="242" t="str">
        <f ca="1">IF(LEN(A22)=0,"",INDEX('Smelter Look-up'!$C:$C,MATCH($A22,'Smelter Look-up'!$E:$E,0)))</f>
        <v>Metalor USA Refining Corporation</v>
      </c>
      <c r="D22" s="236"/>
      <c r="E22" s="236" t="str">
        <f ca="1">IF(ISERROR($V22),"",OFFSET('Smelter Look-up'!$D$4,$V22-4,0)&amp;"")</f>
        <v>UNITED STATES OF AMERICA</v>
      </c>
      <c r="F22" s="236" t="str">
        <f ca="1">IF(ISERROR($V22),"",OFFSET('Smelter Look-up'!$E$4,$V22-4,0))</f>
        <v>CID001157</v>
      </c>
      <c r="G22" s="236" t="str">
        <f ca="1">IF(C22=$X$4,"Enter smelter details", IF(ISERROR($V22),"",OFFSET('Smelter Look-up'!$F$4,$V22-4,0)))</f>
        <v>RMI</v>
      </c>
      <c r="H22" s="237">
        <f ca="1">IF(ISERROR($V22),"",OFFSET('Smelter Look-up'!$G$4,$V22-4,0))</f>
        <v>0</v>
      </c>
      <c r="I22" s="238" t="str">
        <f ca="1">IF(ISERROR($V22),"",OFFSET('Smelter Look-up'!$H$4,$V22-4,0))</f>
        <v>North Attleboro</v>
      </c>
      <c r="J22" s="238" t="str">
        <f ca="1">IF(ISERROR($V22),"",OFFSET('Smelter Look-up'!$I$4,$V22-4,0))</f>
        <v>Massachusetts</v>
      </c>
      <c r="K22" s="240"/>
      <c r="L22" s="240"/>
      <c r="M22" s="240"/>
      <c r="N22" s="240"/>
      <c r="O22" s="240"/>
      <c r="P22" s="239"/>
      <c r="Q22" s="241" t="s">
        <v>15468</v>
      </c>
      <c r="R22" s="236" t="str">
        <f ca="1">IF(ISERROR($V22),"",OFFSET('Smelter Look-up'!$C$4,$V22-4,0)&amp;"")</f>
        <v>Metalor USA Refining Corporation</v>
      </c>
      <c r="S22" s="250" t="str">
        <f t="shared" ca="1" si="0"/>
        <v>US</v>
      </c>
      <c r="T22" s="250" t="str">
        <f ca="1">IF(B22="","",IF(ISERROR(MATCH($J22,SorP!$B$1:$B$6230,0)),"",INDIRECT("'SorP'!$A$"&amp;MATCH($J22,SorP!$B$1:$B$6230,0))))</f>
        <v>US-MA</v>
      </c>
      <c r="U22" s="280"/>
      <c r="V22" s="281">
        <f ca="1">IF(C22="",NA(),MATCH($B22&amp;$C22,'Smelter Look-up'!$J:$J,0))</f>
        <v>145</v>
      </c>
      <c r="W22" s="282"/>
      <c r="X22" s="282">
        <f t="shared" ca="1" si="1"/>
        <v>0</v>
      </c>
      <c r="Y22" s="282"/>
      <c r="Z22" s="282"/>
      <c r="AB22" s="284" t="str">
        <f t="shared" ca="1" si="2"/>
        <v>GoldMetalor USA Refining Corporation</v>
      </c>
    </row>
    <row r="23" spans="1:28" s="283" customFormat="1" ht="25.5">
      <c r="A23" s="235" t="s">
        <v>817</v>
      </c>
      <c r="B23" s="236" t="str">
        <f ca="1">IF(LEN(A23)=0,"",INDEX('Smelter Look-up'!$A:$A,MATCH($A23,'Smelter Look-up'!$E:$E,0)))</f>
        <v>Gold</v>
      </c>
      <c r="C23" s="242" t="str">
        <f ca="1">IF(LEN(A23)=0,"",INDEX('Smelter Look-up'!$C:$C,MATCH($A23,'Smelter Look-up'!$E:$E,0)))</f>
        <v>PAMP S.A.</v>
      </c>
      <c r="D23" s="236"/>
      <c r="E23" s="236" t="str">
        <f ca="1">IF(ISERROR($V23),"",OFFSET('Smelter Look-up'!$D$4,$V23-4,0)&amp;"")</f>
        <v>SWITZERLAND</v>
      </c>
      <c r="F23" s="236" t="str">
        <f ca="1">IF(ISERROR($V23),"",OFFSET('Smelter Look-up'!$E$4,$V23-4,0))</f>
        <v>CID001352</v>
      </c>
      <c r="G23" s="236" t="str">
        <f ca="1">IF(C23=$X$4,"Enter smelter details", IF(ISERROR($V23),"",OFFSET('Smelter Look-up'!$F$4,$V23-4,0)))</f>
        <v>RMI</v>
      </c>
      <c r="H23" s="237">
        <f ca="1">IF(ISERROR($V23),"",OFFSET('Smelter Look-up'!$G$4,$V23-4,0))</f>
        <v>0</v>
      </c>
      <c r="I23" s="238" t="str">
        <f ca="1">IF(ISERROR($V23),"",OFFSET('Smelter Look-up'!$H$4,$V23-4,0))</f>
        <v>Castel San Pietro</v>
      </c>
      <c r="J23" s="238" t="str">
        <f ca="1">IF(ISERROR($V23),"",OFFSET('Smelter Look-up'!$I$4,$V23-4,0))</f>
        <v>Ticino</v>
      </c>
      <c r="K23" s="240"/>
      <c r="L23" s="240"/>
      <c r="M23" s="240"/>
      <c r="N23" s="240"/>
      <c r="O23" s="240"/>
      <c r="P23" s="239"/>
      <c r="Q23" s="241" t="s">
        <v>15468</v>
      </c>
      <c r="R23" s="236" t="str">
        <f ca="1">IF(ISERROR($V23),"",OFFSET('Smelter Look-up'!$C$4,$V23-4,0)&amp;"")</f>
        <v>PAMP S.A.</v>
      </c>
      <c r="S23" s="250" t="str">
        <f t="shared" ca="1" si="0"/>
        <v>CH</v>
      </c>
      <c r="T23" s="250" t="str">
        <f ca="1">IF(B23="","",IF(ISERROR(MATCH($J23,SorP!$B$1:$B$6230,0)),"",INDIRECT("'SorP'!$A$"&amp;MATCH($J23,SorP!$B$1:$B$6230,0))))</f>
        <v>CH-TI</v>
      </c>
      <c r="U23" s="280"/>
      <c r="V23" s="281">
        <f ca="1">IF(C23="",NA(),MATCH($B23&amp;$C23,'Smelter Look-up'!$J:$J,0))</f>
        <v>173</v>
      </c>
      <c r="W23" s="282"/>
      <c r="X23" s="282">
        <f t="shared" ca="1" si="1"/>
        <v>0</v>
      </c>
      <c r="Y23" s="282"/>
      <c r="Z23" s="282"/>
      <c r="AB23" s="284" t="str">
        <f t="shared" ca="1" si="2"/>
        <v>GoldPAMP S.A.</v>
      </c>
    </row>
    <row r="24" spans="1:28" s="283" customFormat="1" ht="51">
      <c r="A24" s="235" t="s">
        <v>823</v>
      </c>
      <c r="B24" s="236" t="str">
        <f ca="1">IF(LEN(A24)=0,"",INDEX('Smelter Look-up'!$A:$A,MATCH($A24,'Smelter Look-up'!$E:$E,0)))</f>
        <v>Gold</v>
      </c>
      <c r="C24" s="242" t="str">
        <f ca="1">IF(LEN(A24)=0,"",INDEX('Smelter Look-up'!$C:$C,MATCH($A24,'Smelter Look-up'!$E:$E,0)))</f>
        <v>Royal Canadian Mint</v>
      </c>
      <c r="D24" s="236"/>
      <c r="E24" s="236" t="str">
        <f ca="1">IF(ISERROR($V24),"",OFFSET('Smelter Look-up'!$D$4,$V24-4,0)&amp;"")</f>
        <v>CANADA</v>
      </c>
      <c r="F24" s="236" t="str">
        <f ca="1">IF(ISERROR($V24),"",OFFSET('Smelter Look-up'!$E$4,$V24-4,0))</f>
        <v>CID001534</v>
      </c>
      <c r="G24" s="236" t="str">
        <f ca="1">IF(C24=$X$4,"Enter smelter details", IF(ISERROR($V24),"",OFFSET('Smelter Look-up'!$F$4,$V24-4,0)))</f>
        <v>RMI</v>
      </c>
      <c r="H24" s="237">
        <f ca="1">IF(ISERROR($V24),"",OFFSET('Smelter Look-up'!$G$4,$V24-4,0))</f>
        <v>0</v>
      </c>
      <c r="I24" s="238" t="str">
        <f ca="1">IF(ISERROR($V24),"",OFFSET('Smelter Look-up'!$H$4,$V24-4,0))</f>
        <v>Ottawa</v>
      </c>
      <c r="J24" s="238" t="str">
        <f ca="1">IF(ISERROR($V24),"",OFFSET('Smelter Look-up'!$I$4,$V24-4,0))</f>
        <v>Ontario</v>
      </c>
      <c r="K24" s="240"/>
      <c r="L24" s="240"/>
      <c r="M24" s="240"/>
      <c r="N24" s="240"/>
      <c r="O24" s="240"/>
      <c r="P24" s="239"/>
      <c r="Q24" s="241" t="s">
        <v>15468</v>
      </c>
      <c r="R24" s="236" t="str">
        <f ca="1">IF(ISERROR($V24),"",OFFSET('Smelter Look-up'!$C$4,$V24-4,0)&amp;"")</f>
        <v>Royal Canadian Mint</v>
      </c>
      <c r="S24" s="250" t="str">
        <f t="shared" ca="1" si="0"/>
        <v>CA</v>
      </c>
      <c r="T24" s="250" t="str">
        <f ca="1">IF(B24="","",IF(ISERROR(MATCH($J24,SorP!$B$1:$B$6230,0)),"",INDIRECT("'SorP'!$A$"&amp;MATCH($J24,SorP!$B$1:$B$6230,0))))</f>
        <v>CA-ON</v>
      </c>
      <c r="U24" s="280"/>
      <c r="V24" s="281">
        <f ca="1">IF(C24="",NA(),MATCH($B24&amp;$C24,'Smelter Look-up'!$J:$J,0))</f>
        <v>191</v>
      </c>
      <c r="W24" s="282"/>
      <c r="X24" s="282">
        <f t="shared" ca="1" si="1"/>
        <v>0</v>
      </c>
      <c r="Y24" s="282"/>
      <c r="Z24" s="282"/>
      <c r="AB24" s="284" t="str">
        <f t="shared" ca="1" si="2"/>
        <v>GoldRoyal Canadian Mint</v>
      </c>
    </row>
    <row r="25" spans="1:28" s="283" customFormat="1" ht="102">
      <c r="A25" s="235" t="s">
        <v>828</v>
      </c>
      <c r="B25" s="236" t="str">
        <f ca="1">IF(LEN(A25)=0,"",INDEX('Smelter Look-up'!$A:$A,MATCH($A25,'Smelter Look-up'!$E:$E,0)))</f>
        <v>Gold</v>
      </c>
      <c r="C25" s="242" t="str">
        <f ca="1">IF(LEN(A25)=0,"",INDEX('Smelter Look-up'!$C:$C,MATCH($A25,'Smelter Look-up'!$E:$E,0)))</f>
        <v>Shandong Zhaojin Gold &amp; Silver Refinery Co., Ltd.</v>
      </c>
      <c r="D25" s="236"/>
      <c r="E25" s="236" t="str">
        <f ca="1">IF(ISERROR($V25),"",OFFSET('Smelter Look-up'!$D$4,$V25-4,0)&amp;"")</f>
        <v>CHINA</v>
      </c>
      <c r="F25" s="236" t="str">
        <f ca="1">IF(ISERROR($V25),"",OFFSET('Smelter Look-up'!$E$4,$V25-4,0))</f>
        <v>CID001622</v>
      </c>
      <c r="G25" s="236" t="str">
        <f ca="1">IF(C25=$X$4,"Enter smelter details", IF(ISERROR($V25),"",OFFSET('Smelter Look-up'!$F$4,$V25-4,0)))</f>
        <v>RMI</v>
      </c>
      <c r="H25" s="237">
        <f ca="1">IF(ISERROR($V25),"",OFFSET('Smelter Look-up'!$G$4,$V25-4,0))</f>
        <v>0</v>
      </c>
      <c r="I25" s="238" t="str">
        <f ca="1">IF(ISERROR($V25),"",OFFSET('Smelter Look-up'!$H$4,$V25-4,0))</f>
        <v>Zhaoyuan</v>
      </c>
      <c r="J25" s="238" t="str">
        <f ca="1">IF(ISERROR($V25),"",OFFSET('Smelter Look-up'!$I$4,$V25-4,0))</f>
        <v>Shandong</v>
      </c>
      <c r="K25" s="240"/>
      <c r="L25" s="240"/>
      <c r="M25" s="240"/>
      <c r="N25" s="240"/>
      <c r="O25" s="240"/>
      <c r="P25" s="239"/>
      <c r="Q25" s="241" t="s">
        <v>15468</v>
      </c>
      <c r="R25" s="236" t="str">
        <f ca="1">IF(ISERROR($V25),"",OFFSET('Smelter Look-up'!$C$4,$V25-4,0)&amp;"")</f>
        <v>Shandong Zhaojin Gold &amp; Silver Refinery Co., Ltd.</v>
      </c>
      <c r="S25" s="250" t="str">
        <f t="shared" ca="1" si="0"/>
        <v>CN</v>
      </c>
      <c r="T25" s="250" t="str">
        <f ca="1">IF(B25="","",IF(ISERROR(MATCH($J25,SorP!$B$1:$B$6230,0)),"",INDIRECT("'SorP'!$A$"&amp;MATCH($J25,SorP!$B$1:$B$6230,0))))</f>
        <v>CN-37</v>
      </c>
      <c r="U25" s="280"/>
      <c r="V25" s="281">
        <f ca="1">IF(C25="",NA(),MATCH($B25&amp;$C25,'Smelter Look-up'!$J:$J,0))</f>
        <v>212</v>
      </c>
      <c r="W25" s="282"/>
      <c r="X25" s="282">
        <f t="shared" ca="1" si="1"/>
        <v>0</v>
      </c>
      <c r="Y25" s="282"/>
      <c r="Z25" s="282"/>
      <c r="AB25" s="284" t="str">
        <f t="shared" ca="1" si="2"/>
        <v>GoldShandong Zhaojin Gold &amp; Silver Refinery Co., Ltd.</v>
      </c>
    </row>
    <row r="26" spans="1:28" s="283" customFormat="1" ht="63.75">
      <c r="A26" s="235" t="s">
        <v>832</v>
      </c>
      <c r="B26" s="236" t="str">
        <f ca="1">IF(LEN(A26)=0,"",INDEX('Smelter Look-up'!$A:$A,MATCH($A26,'Smelter Look-up'!$E:$E,0)))</f>
        <v>Gold</v>
      </c>
      <c r="C26" s="242" t="str">
        <f ca="1">IF(LEN(A26)=0,"",INDEX('Smelter Look-up'!$C:$C,MATCH($A26,'Smelter Look-up'!$E:$E,0)))</f>
        <v>Tanaka Kikinzoku Kogyo K.K.</v>
      </c>
      <c r="D26" s="236"/>
      <c r="E26" s="236" t="str">
        <f ca="1">IF(ISERROR($V26),"",OFFSET('Smelter Look-up'!$D$4,$V26-4,0)&amp;"")</f>
        <v>JAPAN</v>
      </c>
      <c r="F26" s="236" t="str">
        <f ca="1">IF(ISERROR($V26),"",OFFSET('Smelter Look-up'!$E$4,$V26-4,0))</f>
        <v>CID001875</v>
      </c>
      <c r="G26" s="236" t="str">
        <f ca="1">IF(C26=$X$4,"Enter smelter details", IF(ISERROR($V26),"",OFFSET('Smelter Look-up'!$F$4,$V26-4,0)))</f>
        <v>RMI</v>
      </c>
      <c r="H26" s="237">
        <f ca="1">IF(ISERROR($V26),"",OFFSET('Smelter Look-up'!$G$4,$V26-4,0))</f>
        <v>0</v>
      </c>
      <c r="I26" s="238" t="str">
        <f ca="1">IF(ISERROR($V26),"",OFFSET('Smelter Look-up'!$H$4,$V26-4,0))</f>
        <v>Hiratsuka</v>
      </c>
      <c r="J26" s="238" t="str">
        <f ca="1">IF(ISERROR($V26),"",OFFSET('Smelter Look-up'!$I$4,$V26-4,0))</f>
        <v>Kanagawa</v>
      </c>
      <c r="K26" s="240"/>
      <c r="L26" s="240"/>
      <c r="M26" s="240"/>
      <c r="N26" s="240"/>
      <c r="O26" s="240"/>
      <c r="P26" s="239"/>
      <c r="Q26" s="241" t="s">
        <v>15468</v>
      </c>
      <c r="R26" s="236" t="str">
        <f ca="1">IF(ISERROR($V26),"",OFFSET('Smelter Look-up'!$C$4,$V26-4,0)&amp;"")</f>
        <v>Tanaka Kikinzoku Kogyo K.K.</v>
      </c>
      <c r="S26" s="250" t="str">
        <f t="shared" ca="1" si="0"/>
        <v>JP</v>
      </c>
      <c r="T26" s="250" t="str">
        <f ca="1">IF(B26="","",IF(ISERROR(MATCH($J26,SorP!$B$1:$B$6230,0)),"",INDIRECT("'SorP'!$A$"&amp;MATCH($J26,SorP!$B$1:$B$6230,0))))</f>
        <v>JP-14</v>
      </c>
      <c r="U26" s="280"/>
      <c r="V26" s="281">
        <f ca="1">IF(C26="",NA(),MATCH($B26&amp;$C26,'Smelter Look-up'!$J:$J,0))</f>
        <v>239</v>
      </c>
      <c r="W26" s="282"/>
      <c r="X26" s="282">
        <f t="shared" ca="1" si="1"/>
        <v>0</v>
      </c>
      <c r="Y26" s="282"/>
      <c r="Z26" s="282"/>
      <c r="AB26" s="284" t="str">
        <f t="shared" ca="1" si="2"/>
        <v>GoldTanaka Kikinzoku Kogyo K.K.</v>
      </c>
    </row>
    <row r="27" spans="1:28" s="283" customFormat="1" ht="102">
      <c r="A27" s="235" t="s">
        <v>839</v>
      </c>
      <c r="B27" s="236" t="str">
        <f ca="1">IF(LEN(A27)=0,"",INDEX('Smelter Look-up'!$A:$A,MATCH($A27,'Smelter Look-up'!$E:$E,0)))</f>
        <v>Gold</v>
      </c>
      <c r="C27" s="242" t="str">
        <f ca="1">IF(LEN(A27)=0,"",INDEX('Smelter Look-up'!$C:$C,MATCH($A27,'Smelter Look-up'!$E:$E,0)))</f>
        <v>Umicore S.A. Business Unit Precious Metals Refining</v>
      </c>
      <c r="D27" s="236"/>
      <c r="E27" s="236" t="str">
        <f ca="1">IF(ISERROR($V27),"",OFFSET('Smelter Look-up'!$D$4,$V27-4,0)&amp;"")</f>
        <v>BELGIUM</v>
      </c>
      <c r="F27" s="236" t="str">
        <f ca="1">IF(ISERROR($V27),"",OFFSET('Smelter Look-up'!$E$4,$V27-4,0))</f>
        <v>CID001980</v>
      </c>
      <c r="G27" s="236" t="str">
        <f ca="1">IF(C27=$X$4,"Enter smelter details", IF(ISERROR($V27),"",OFFSET('Smelter Look-up'!$F$4,$V27-4,0)))</f>
        <v>RMI</v>
      </c>
      <c r="H27" s="237">
        <f ca="1">IF(ISERROR($V27),"",OFFSET('Smelter Look-up'!$G$4,$V27-4,0))</f>
        <v>0</v>
      </c>
      <c r="I27" s="238" t="str">
        <f ca="1">IF(ISERROR($V27),"",OFFSET('Smelter Look-up'!$H$4,$V27-4,0))</f>
        <v>Hoboken</v>
      </c>
      <c r="J27" s="238" t="str">
        <f ca="1">IF(ISERROR($V27),"",OFFSET('Smelter Look-up'!$I$4,$V27-4,0))</f>
        <v>Antwerpen</v>
      </c>
      <c r="K27" s="240"/>
      <c r="L27" s="240"/>
      <c r="M27" s="240"/>
      <c r="N27" s="240"/>
      <c r="O27" s="240"/>
      <c r="P27" s="239"/>
      <c r="Q27" s="241" t="s">
        <v>15468</v>
      </c>
      <c r="R27" s="236" t="str">
        <f ca="1">IF(ISERROR($V27),"",OFFSET('Smelter Look-up'!$C$4,$V27-4,0)&amp;"")</f>
        <v>Umicore S.A. Business Unit Precious Metals Refining</v>
      </c>
      <c r="S27" s="250" t="str">
        <f t="shared" ca="1" si="0"/>
        <v>BE</v>
      </c>
      <c r="T27" s="250" t="str">
        <f ca="1">IF(B27="","",IF(ISERROR(MATCH($J27,SorP!$B$1:$B$6230,0)),"",INDIRECT("'SorP'!$A$"&amp;MATCH($J27,SorP!$B$1:$B$6230,0))))</f>
        <v>BE-VAN</v>
      </c>
      <c r="U27" s="280"/>
      <c r="V27" s="281">
        <f ca="1">IF(C27="",NA(),MATCH($B27&amp;$C27,'Smelter Look-up'!$J:$J,0))</f>
        <v>254</v>
      </c>
      <c r="W27" s="282"/>
      <c r="X27" s="282">
        <f t="shared" ca="1" si="1"/>
        <v>0</v>
      </c>
      <c r="Y27" s="282"/>
      <c r="Z27" s="282"/>
      <c r="AB27" s="284" t="str">
        <f t="shared" ca="1" si="2"/>
        <v>GoldUmicore S.A. Business Unit Precious Metals Refining</v>
      </c>
    </row>
    <row r="28" spans="1:28" s="283" customFormat="1" ht="76.5">
      <c r="A28" s="235" t="s">
        <v>840</v>
      </c>
      <c r="B28" s="236" t="str">
        <f ca="1">IF(LEN(A28)=0,"",INDEX('Smelter Look-up'!$A:$A,MATCH($A28,'Smelter Look-up'!$E:$E,0)))</f>
        <v>Gold</v>
      </c>
      <c r="C28" s="242" t="str">
        <f ca="1">IF(LEN(A28)=0,"",INDEX('Smelter Look-up'!$C:$C,MATCH($A28,'Smelter Look-up'!$E:$E,0)))</f>
        <v>United Precious Metal Refining, Inc.</v>
      </c>
      <c r="D28" s="236"/>
      <c r="E28" s="236" t="str">
        <f ca="1">IF(ISERROR($V28),"",OFFSET('Smelter Look-up'!$D$4,$V28-4,0)&amp;"")</f>
        <v>UNITED STATES OF AMERICA</v>
      </c>
      <c r="F28" s="236" t="str">
        <f ca="1">IF(ISERROR($V28),"",OFFSET('Smelter Look-up'!$E$4,$V28-4,0))</f>
        <v>CID001993</v>
      </c>
      <c r="G28" s="236" t="str">
        <f ca="1">IF(C28=$X$4,"Enter smelter details", IF(ISERROR($V28),"",OFFSET('Smelter Look-up'!$F$4,$V28-4,0)))</f>
        <v>RMI</v>
      </c>
      <c r="H28" s="237">
        <f ca="1">IF(ISERROR($V28),"",OFFSET('Smelter Look-up'!$G$4,$V28-4,0))</f>
        <v>0</v>
      </c>
      <c r="I28" s="238" t="str">
        <f ca="1">IF(ISERROR($V28),"",OFFSET('Smelter Look-up'!$H$4,$V28-4,0))</f>
        <v>Alden</v>
      </c>
      <c r="J28" s="238" t="str">
        <f ca="1">IF(ISERROR($V28),"",OFFSET('Smelter Look-up'!$I$4,$V28-4,0))</f>
        <v>New York</v>
      </c>
      <c r="K28" s="240"/>
      <c r="L28" s="240"/>
      <c r="M28" s="240"/>
      <c r="N28" s="240"/>
      <c r="O28" s="240"/>
      <c r="P28" s="239"/>
      <c r="Q28" s="241" t="s">
        <v>15468</v>
      </c>
      <c r="R28" s="236" t="str">
        <f ca="1">IF(ISERROR($V28),"",OFFSET('Smelter Look-up'!$C$4,$V28-4,0)&amp;"")</f>
        <v>United Precious Metal Refining, Inc.</v>
      </c>
      <c r="S28" s="250" t="str">
        <f t="shared" ca="1" si="0"/>
        <v>US</v>
      </c>
      <c r="T28" s="250" t="str">
        <f ca="1">IF(B28="","",IF(ISERROR(MATCH($J28,SorP!$B$1:$B$6230,0)),"",INDIRECT("'SorP'!$A$"&amp;MATCH($J28,SorP!$B$1:$B$6230,0))))</f>
        <v>US-NY</v>
      </c>
      <c r="U28" s="280"/>
      <c r="V28" s="281">
        <f ca="1">IF(C28="",NA(),MATCH($B28&amp;$C28,'Smelter Look-up'!$J:$J,0))</f>
        <v>255</v>
      </c>
      <c r="W28" s="282"/>
      <c r="X28" s="282">
        <f t="shared" ca="1" si="1"/>
        <v>0</v>
      </c>
      <c r="Y28" s="282"/>
      <c r="Z28" s="282"/>
      <c r="AB28" s="284" t="str">
        <f t="shared" ca="1" si="2"/>
        <v>GoldUnited Precious Metal Refining, Inc.</v>
      </c>
    </row>
    <row r="29" spans="1:28" s="283" customFormat="1" ht="102">
      <c r="A29" s="235" t="s">
        <v>804</v>
      </c>
      <c r="B29" s="236" t="str">
        <f ca="1">IF(LEN(A29)=0,"",INDEX('Smelter Look-up'!$A:$A,MATCH($A29,'Smelter Look-up'!$E:$E,0)))</f>
        <v>Gold</v>
      </c>
      <c r="C29" s="242" t="str">
        <f ca="1">IF(LEN(A29)=0,"",INDEX('Smelter Look-up'!$C:$C,MATCH($A29,'Smelter Look-up'!$E:$E,0)))</f>
        <v>Metalor Technologies (Singapore) Pte., Ltd.</v>
      </c>
      <c r="D29" s="236"/>
      <c r="E29" s="236" t="str">
        <f ca="1">IF(ISERROR($V29),"",OFFSET('Smelter Look-up'!$D$4,$V29-4,0)&amp;"")</f>
        <v>SINGAPORE</v>
      </c>
      <c r="F29" s="236" t="str">
        <f ca="1">IF(ISERROR($V29),"",OFFSET('Smelter Look-up'!$E$4,$V29-4,0))</f>
        <v>CID001152</v>
      </c>
      <c r="G29" s="236" t="str">
        <f ca="1">IF(C29=$X$4,"Enter smelter details", IF(ISERROR($V29),"",OFFSET('Smelter Look-up'!$F$4,$V29-4,0)))</f>
        <v>RMI</v>
      </c>
      <c r="H29" s="237">
        <f ca="1">IF(ISERROR($V29),"",OFFSET('Smelter Look-up'!$G$4,$V29-4,0))</f>
        <v>0</v>
      </c>
      <c r="I29" s="238" t="str">
        <f ca="1">IF(ISERROR($V29),"",OFFSET('Smelter Look-up'!$H$4,$V29-4,0))</f>
        <v>Singapore</v>
      </c>
      <c r="J29" s="238" t="str">
        <f ca="1">IF(ISERROR($V29),"",OFFSET('Smelter Look-up'!$I$4,$V29-4,0))</f>
        <v>South West</v>
      </c>
      <c r="K29" s="240"/>
      <c r="L29" s="240"/>
      <c r="M29" s="240"/>
      <c r="N29" s="240"/>
      <c r="O29" s="240"/>
      <c r="P29" s="239"/>
      <c r="Q29" s="241" t="s">
        <v>15468</v>
      </c>
      <c r="R29" s="236" t="str">
        <f ca="1">IF(ISERROR($V29),"",OFFSET('Smelter Look-up'!$C$4,$V29-4,0)&amp;"")</f>
        <v>Metalor Technologies (Singapore) Pte., Ltd.</v>
      </c>
      <c r="S29" s="250" t="str">
        <f t="shared" ca="1" si="0"/>
        <v>SG</v>
      </c>
      <c r="T29" s="250" t="str">
        <f ca="1">IF(B29="","",IF(ISERROR(MATCH($J29,SorP!$B$1:$B$6230,0)),"",INDIRECT("'SorP'!$A$"&amp;MATCH($J29,SorP!$B$1:$B$6230,0))))</f>
        <v>SG-05</v>
      </c>
      <c r="U29" s="280"/>
      <c r="V29" s="281">
        <f ca="1">IF(C29="",NA(),MATCH($B29&amp;$C29,'Smelter Look-up'!$J:$J,0))</f>
        <v>142</v>
      </c>
      <c r="W29" s="282"/>
      <c r="X29" s="282">
        <f t="shared" ca="1" si="1"/>
        <v>0</v>
      </c>
      <c r="Y29" s="282"/>
      <c r="Z29" s="282"/>
      <c r="AB29" s="284" t="str">
        <f t="shared" ca="1" si="2"/>
        <v>GoldMetalor Technologies (Singapore) Pte., Ltd.</v>
      </c>
    </row>
    <row r="30" spans="1:28" s="283" customFormat="1" ht="76.5">
      <c r="A30" s="235" t="s">
        <v>1890</v>
      </c>
      <c r="B30" s="236" t="str">
        <f ca="1">IF(LEN(A30)=0,"",INDEX('Smelter Look-up'!$A:$A,MATCH($A30,'Smelter Look-up'!$E:$E,0)))</f>
        <v>Gold</v>
      </c>
      <c r="C30" s="242" t="str">
        <f ca="1">IF(LEN(A30)=0,"",INDEX('Smelter Look-up'!$C:$C,MATCH($A30,'Smelter Look-up'!$E:$E,0)))</f>
        <v>Metalor Technologies (Suzhou) Ltd.</v>
      </c>
      <c r="D30" s="236"/>
      <c r="E30" s="236" t="str">
        <f ca="1">IF(ISERROR($V30),"",OFFSET('Smelter Look-up'!$D$4,$V30-4,0)&amp;"")</f>
        <v>CHINA</v>
      </c>
      <c r="F30" s="236" t="str">
        <f ca="1">IF(ISERROR($V30),"",OFFSET('Smelter Look-up'!$E$4,$V30-4,0))</f>
        <v>CID001147</v>
      </c>
      <c r="G30" s="236" t="str">
        <f ca="1">IF(C30=$X$4,"Enter smelter details", IF(ISERROR($V30),"",OFFSET('Smelter Look-up'!$F$4,$V30-4,0)))</f>
        <v>RMI</v>
      </c>
      <c r="H30" s="237">
        <f ca="1">IF(ISERROR($V30),"",OFFSET('Smelter Look-up'!$G$4,$V30-4,0))</f>
        <v>0</v>
      </c>
      <c r="I30" s="238" t="str">
        <f ca="1">IF(ISERROR($V30),"",OFFSET('Smelter Look-up'!$H$4,$V30-4,0))</f>
        <v>Suzhou</v>
      </c>
      <c r="J30" s="238" t="str">
        <f ca="1">IF(ISERROR($V30),"",OFFSET('Smelter Look-up'!$I$4,$V30-4,0))</f>
        <v>Jiangsu</v>
      </c>
      <c r="K30" s="240"/>
      <c r="L30" s="240"/>
      <c r="M30" s="240"/>
      <c r="N30" s="240"/>
      <c r="O30" s="240"/>
      <c r="P30" s="239"/>
      <c r="Q30" s="241" t="s">
        <v>15468</v>
      </c>
      <c r="R30" s="236" t="str">
        <f ca="1">IF(ISERROR($V30),"",OFFSET('Smelter Look-up'!$C$4,$V30-4,0)&amp;"")</f>
        <v>Metalor Technologies (Suzhou) Ltd.</v>
      </c>
      <c r="S30" s="250" t="str">
        <f t="shared" ca="1" si="0"/>
        <v>CN</v>
      </c>
      <c r="T30" s="250" t="str">
        <f ca="1">IF(B30="","",IF(ISERROR(MATCH($J30,SorP!$B$1:$B$6230,0)),"",INDIRECT("'SorP'!$A$"&amp;MATCH($J30,SorP!$B$1:$B$6230,0))))</f>
        <v>CN-32</v>
      </c>
      <c r="U30" s="280"/>
      <c r="V30" s="281">
        <f ca="1">IF(C30="",NA(),MATCH($B30&amp;$C30,'Smelter Look-up'!$J:$J,0))</f>
        <v>143</v>
      </c>
      <c r="W30" s="282"/>
      <c r="X30" s="282">
        <f t="shared" ca="1" si="1"/>
        <v>0</v>
      </c>
      <c r="Y30" s="282"/>
      <c r="Z30" s="282"/>
      <c r="AB30" s="284" t="str">
        <f t="shared" ca="1" si="2"/>
        <v>GoldMetalor Technologies (Suzhou) Ltd.</v>
      </c>
    </row>
    <row r="31" spans="1:28" s="283" customFormat="1" ht="63.75">
      <c r="A31" s="235" t="s">
        <v>827</v>
      </c>
      <c r="B31" s="236" t="str">
        <f ca="1">IF(LEN(A31)=0,"",INDEX('Smelter Look-up'!$A:$A,MATCH($A31,'Smelter Look-up'!$E:$E,0)))</f>
        <v>Gold</v>
      </c>
      <c r="C31" s="242" t="str">
        <f ca="1">IF(LEN(A31)=0,"",INDEX('Smelter Look-up'!$C:$C,MATCH($A31,'Smelter Look-up'!$E:$E,0)))</f>
        <v>SEMPSA Joyeria Plateria S.A.</v>
      </c>
      <c r="D31" s="236"/>
      <c r="E31" s="236" t="str">
        <f ca="1">IF(ISERROR($V31),"",OFFSET('Smelter Look-up'!$D$4,$V31-4,0)&amp;"")</f>
        <v>SPAIN</v>
      </c>
      <c r="F31" s="236" t="str">
        <f ca="1">IF(ISERROR($V31),"",OFFSET('Smelter Look-up'!$E$4,$V31-4,0))</f>
        <v>CID001585</v>
      </c>
      <c r="G31" s="236" t="str">
        <f ca="1">IF(C31=$X$4,"Enter smelter details", IF(ISERROR($V31),"",OFFSET('Smelter Look-up'!$F$4,$V31-4,0)))</f>
        <v>RMI</v>
      </c>
      <c r="H31" s="237">
        <f ca="1">IF(ISERROR($V31),"",OFFSET('Smelter Look-up'!$G$4,$V31-4,0))</f>
        <v>0</v>
      </c>
      <c r="I31" s="238" t="str">
        <f ca="1">IF(ISERROR($V31),"",OFFSET('Smelter Look-up'!$H$4,$V31-4,0))</f>
        <v>Madrid</v>
      </c>
      <c r="J31" s="238" t="str">
        <f ca="1">IF(ISERROR($V31),"",OFFSET('Smelter Look-up'!$I$4,$V31-4,0))</f>
        <v>Madrid, Comunidad de</v>
      </c>
      <c r="K31" s="240"/>
      <c r="L31" s="240"/>
      <c r="M31" s="240"/>
      <c r="N31" s="240"/>
      <c r="O31" s="240"/>
      <c r="P31" s="239"/>
      <c r="Q31" s="241" t="s">
        <v>15468</v>
      </c>
      <c r="R31" s="236" t="str">
        <f ca="1">IF(ISERROR($V31),"",OFFSET('Smelter Look-up'!$C$4,$V31-4,0)&amp;"")</f>
        <v>SEMPSA Joyeria Plateria S.A.</v>
      </c>
      <c r="S31" s="250" t="str">
        <f t="shared" ca="1" si="0"/>
        <v>ES</v>
      </c>
      <c r="T31" s="250" t="str">
        <f ca="1">IF(B31="","",IF(ISERROR(MATCH($J31,SorP!$B$1:$B$6230,0)),"",INDIRECT("'SorP'!$A$"&amp;MATCH($J31,SorP!$B$1:$B$6230,0))))</f>
        <v>ES-MD</v>
      </c>
      <c r="U31" s="280"/>
      <c r="V31" s="281">
        <f ca="1">IF(C31="",NA(),MATCH($B31&amp;$C31,'Smelter Look-up'!$J:$J,0))</f>
        <v>204</v>
      </c>
      <c r="W31" s="282"/>
      <c r="X31" s="282">
        <f t="shared" ca="1" si="1"/>
        <v>0</v>
      </c>
      <c r="Y31" s="282"/>
      <c r="Z31" s="282"/>
      <c r="AB31" s="284" t="str">
        <f t="shared" ca="1" si="2"/>
        <v>GoldSEMPSA Joyeria Plateria S.A.</v>
      </c>
    </row>
    <row r="32" spans="1:28" s="283" customFormat="1" ht="76.5">
      <c r="A32" s="235" t="s">
        <v>882</v>
      </c>
      <c r="B32" s="236" t="str">
        <f ca="1">IF(LEN(A32)=0,"",INDEX('Smelter Look-up'!$A:$A,MATCH($A32,'Smelter Look-up'!$E:$E,0)))</f>
        <v>Tin</v>
      </c>
      <c r="C32" s="242" t="str">
        <f ca="1">IF(LEN(A32)=0,"",INDEX('Smelter Look-up'!$C:$C,MATCH($A32,'Smelter Look-up'!$E:$E,0)))</f>
        <v>Malaysia Smelting Corporation (MSC)</v>
      </c>
      <c r="D32" s="236"/>
      <c r="E32" s="236" t="str">
        <f ca="1">IF(ISERROR($V32),"",OFFSET('Smelter Look-up'!$D$4,$V32-4,0)&amp;"")</f>
        <v>MALAYSIA</v>
      </c>
      <c r="F32" s="236" t="str">
        <f ca="1">IF(ISERROR($V32),"",OFFSET('Smelter Look-up'!$E$4,$V32-4,0))</f>
        <v>CID001105</v>
      </c>
      <c r="G32" s="236" t="str">
        <f ca="1">IF(C32=$X$4,"Enter smelter details", IF(ISERROR($V32),"",OFFSET('Smelter Look-up'!$F$4,$V32-4,0)))</f>
        <v>RMI</v>
      </c>
      <c r="H32" s="237">
        <f ca="1">IF(ISERROR($V32),"",OFFSET('Smelter Look-up'!$G$4,$V32-4,0))</f>
        <v>0</v>
      </c>
      <c r="I32" s="238" t="str">
        <f ca="1">IF(ISERROR($V32),"",OFFSET('Smelter Look-up'!$H$4,$V32-4,0))</f>
        <v>Butterworth</v>
      </c>
      <c r="J32" s="238" t="str">
        <f ca="1">IF(ISERROR($V32),"",OFFSET('Smelter Look-up'!$I$4,$V32-4,0))</f>
        <v>Pulau Pinang</v>
      </c>
      <c r="K32" s="240"/>
      <c r="L32" s="240"/>
      <c r="M32" s="240"/>
      <c r="N32" s="240"/>
      <c r="O32" s="240"/>
      <c r="P32" s="239"/>
      <c r="Q32" s="241" t="s">
        <v>15468</v>
      </c>
      <c r="R32" s="236" t="str">
        <f ca="1">IF(ISERROR($V32),"",OFFSET('Smelter Look-up'!$C$4,$V32-4,0)&amp;"")</f>
        <v>Malaysia Smelting Corporation (MSC)</v>
      </c>
      <c r="S32" s="250" t="str">
        <f t="shared" ca="1" si="0"/>
        <v>MY</v>
      </c>
      <c r="T32" s="250" t="str">
        <f ca="1">IF(B32="","",IF(ISERROR(MATCH($J32,SorP!$B$1:$B$6230,0)),"",INDIRECT("'SorP'!$A$"&amp;MATCH($J32,SorP!$B$1:$B$6230,0))))</f>
        <v>MY-07</v>
      </c>
      <c r="U32" s="280"/>
      <c r="V32" s="281">
        <f ca="1">IF(C32="",NA(),MATCH($B32&amp;$C32,'Smelter Look-up'!$J:$J,0))</f>
        <v>418</v>
      </c>
      <c r="W32" s="282"/>
      <c r="X32" s="282">
        <f t="shared" ca="1" si="1"/>
        <v>0</v>
      </c>
      <c r="Y32" s="282"/>
      <c r="Z32" s="282"/>
      <c r="AB32" s="284" t="str">
        <f t="shared" ca="1" si="2"/>
        <v>TinMalaysia Smelting Corporation (MSC)</v>
      </c>
    </row>
    <row r="33" spans="1:28" s="283" customFormat="1" ht="89.25">
      <c r="A33" s="235" t="s">
        <v>877</v>
      </c>
      <c r="B33" s="236" t="str">
        <f ca="1">IF(LEN(A33)=0,"",INDEX('Smelter Look-up'!$A:$A,MATCH($A33,'Smelter Look-up'!$E:$E,0)))</f>
        <v>Tin</v>
      </c>
      <c r="C33" s="242" t="str">
        <f ca="1">IF(LEN(A33)=0,"",INDEX('Smelter Look-up'!$C:$C,MATCH($A33,'Smelter Look-up'!$E:$E,0)))</f>
        <v>Gejiu Non-Ferrous Metal Processing Co., Ltd.</v>
      </c>
      <c r="D33" s="236"/>
      <c r="E33" s="236" t="str">
        <f ca="1">IF(ISERROR($V33),"",OFFSET('Smelter Look-up'!$D$4,$V33-4,0)&amp;"")</f>
        <v>CHINA</v>
      </c>
      <c r="F33" s="236" t="str">
        <f ca="1">IF(ISERROR($V33),"",OFFSET('Smelter Look-up'!$E$4,$V33-4,0))</f>
        <v>CID000538</v>
      </c>
      <c r="G33" s="236" t="str">
        <f ca="1">IF(C33=$X$4,"Enter smelter details", IF(ISERROR($V33),"",OFFSET('Smelter Look-up'!$F$4,$V33-4,0)))</f>
        <v>RMI</v>
      </c>
      <c r="H33" s="237">
        <f ca="1">IF(ISERROR($V33),"",OFFSET('Smelter Look-up'!$G$4,$V33-4,0))</f>
        <v>0</v>
      </c>
      <c r="I33" s="238" t="str">
        <f ca="1">IF(ISERROR($V33),"",OFFSET('Smelter Look-up'!$H$4,$V33-4,0))</f>
        <v>Gejiu</v>
      </c>
      <c r="J33" s="238" t="str">
        <f ca="1">IF(ISERROR($V33),"",OFFSET('Smelter Look-up'!$I$4,$V33-4,0))</f>
        <v>Yunnan</v>
      </c>
      <c r="K33" s="240"/>
      <c r="L33" s="240"/>
      <c r="M33" s="240"/>
      <c r="N33" s="240"/>
      <c r="O33" s="240"/>
      <c r="P33" s="239"/>
      <c r="Q33" s="241" t="s">
        <v>15468</v>
      </c>
      <c r="R33" s="236" t="str">
        <f ca="1">IF(ISERROR($V33),"",OFFSET('Smelter Look-up'!$C$4,$V33-4,0)&amp;"")</f>
        <v>Gejiu Non-Ferrous Metal Processing Co., Ltd.</v>
      </c>
      <c r="S33" s="250" t="str">
        <f t="shared" ca="1" si="0"/>
        <v>CN</v>
      </c>
      <c r="T33" s="250" t="str">
        <f ca="1">IF(B33="","",IF(ISERROR(MATCH($J33,SorP!$B$1:$B$6230,0)),"",INDIRECT("'SorP'!$A$"&amp;MATCH($J33,SorP!$B$1:$B$6230,0))))</f>
        <v>CN-53</v>
      </c>
      <c r="U33" s="280"/>
      <c r="V33" s="281">
        <f ca="1">IF(C33="",NA(),MATCH($B33&amp;$C33,'Smelter Look-up'!$J:$J,0))</f>
        <v>392</v>
      </c>
      <c r="W33" s="282"/>
      <c r="X33" s="282">
        <f t="shared" ca="1" si="1"/>
        <v>0</v>
      </c>
      <c r="Y33" s="282"/>
      <c r="Z33" s="282"/>
      <c r="AB33" s="284" t="str">
        <f t="shared" ca="1" si="2"/>
        <v>TinGejiu Non-Ferrous Metal Processing Co., Ltd.</v>
      </c>
    </row>
    <row r="34" spans="1:28" s="283" customFormat="1" ht="25.5">
      <c r="A34" s="235" t="s">
        <v>884</v>
      </c>
      <c r="B34" s="236" t="str">
        <f ca="1">IF(LEN(A34)=0,"",INDEX('Smelter Look-up'!$A:$A,MATCH($A34,'Smelter Look-up'!$E:$E,0)))</f>
        <v>Tin</v>
      </c>
      <c r="C34" s="242" t="str">
        <f ca="1">IF(LEN(A34)=0,"",INDEX('Smelter Look-up'!$C:$C,MATCH($A34,'Smelter Look-up'!$E:$E,0)))</f>
        <v>Minsur</v>
      </c>
      <c r="D34" s="236"/>
      <c r="E34" s="236" t="str">
        <f ca="1">IF(ISERROR($V34),"",OFFSET('Smelter Look-up'!$D$4,$V34-4,0)&amp;"")</f>
        <v>PERU</v>
      </c>
      <c r="F34" s="236" t="str">
        <f ca="1">IF(ISERROR($V34),"",OFFSET('Smelter Look-up'!$E$4,$V34-4,0))</f>
        <v>CID001182</v>
      </c>
      <c r="G34" s="236" t="str">
        <f ca="1">IF(C34=$X$4,"Enter smelter details", IF(ISERROR($V34),"",OFFSET('Smelter Look-up'!$F$4,$V34-4,0)))</f>
        <v>RMI</v>
      </c>
      <c r="H34" s="237">
        <f ca="1">IF(ISERROR($V34),"",OFFSET('Smelter Look-up'!$G$4,$V34-4,0))</f>
        <v>0</v>
      </c>
      <c r="I34" s="238" t="str">
        <f ca="1">IF(ISERROR($V34),"",OFFSET('Smelter Look-up'!$H$4,$V34-4,0))</f>
        <v>Paracas</v>
      </c>
      <c r="J34" s="238" t="str">
        <f ca="1">IF(ISERROR($V34),"",OFFSET('Smelter Look-up'!$I$4,$V34-4,0))</f>
        <v>Ika</v>
      </c>
      <c r="K34" s="240"/>
      <c r="L34" s="240"/>
      <c r="M34" s="240"/>
      <c r="N34" s="240"/>
      <c r="O34" s="240"/>
      <c r="P34" s="239"/>
      <c r="Q34" s="241" t="s">
        <v>15468</v>
      </c>
      <c r="R34" s="236" t="str">
        <f ca="1">IF(ISERROR($V34),"",OFFSET('Smelter Look-up'!$C$4,$V34-4,0)&amp;"")</f>
        <v>Minsur</v>
      </c>
      <c r="S34" s="250" t="str">
        <f t="shared" ca="1" si="0"/>
        <v>PE</v>
      </c>
      <c r="T34" s="250" t="str">
        <f ca="1">IF(B34="","",IF(ISERROR(MATCH($J34,SorP!$B$1:$B$6230,0)),"",INDIRECT("'SorP'!$A$"&amp;MATCH($J34,SorP!$B$1:$B$6230,0))))</f>
        <v>PE-ICA</v>
      </c>
      <c r="U34" s="280"/>
      <c r="V34" s="281">
        <f ca="1">IF(C34="",NA(),MATCH($B34&amp;$C34,'Smelter Look-up'!$J:$J,0))</f>
        <v>428</v>
      </c>
      <c r="W34" s="282"/>
      <c r="X34" s="282">
        <f t="shared" ca="1" si="1"/>
        <v>0</v>
      </c>
      <c r="Y34" s="282"/>
      <c r="Z34" s="282"/>
      <c r="AB34" s="284" t="str">
        <f t="shared" ca="1" si="2"/>
        <v>TinMinsur</v>
      </c>
    </row>
    <row r="35" spans="1:28" s="283" customFormat="1" ht="51">
      <c r="A35" s="235" t="s">
        <v>904</v>
      </c>
      <c r="B35" s="236" t="str">
        <f ca="1">IF(LEN(A35)=0,"",INDEX('Smelter Look-up'!$A:$A,MATCH($A35,'Smelter Look-up'!$E:$E,0)))</f>
        <v>Tin</v>
      </c>
      <c r="C35" s="242" t="str">
        <f ca="1">IF(LEN(A35)=0,"",INDEX('Smelter Look-up'!$C:$C,MATCH($A35,'Smelter Look-up'!$E:$E,0)))</f>
        <v>PT Tinindo Inter Nusa</v>
      </c>
      <c r="D35" s="236"/>
      <c r="E35" s="236" t="str">
        <f ca="1">IF(ISERROR($V35),"",OFFSET('Smelter Look-up'!$D$4,$V35-4,0)&amp;"")</f>
        <v>INDONESIA</v>
      </c>
      <c r="F35" s="236" t="str">
        <f ca="1">IF(ISERROR($V35),"",OFFSET('Smelter Look-up'!$E$4,$V35-4,0))</f>
        <v>CID001490</v>
      </c>
      <c r="G35" s="236" t="str">
        <f ca="1">IF(C35=$X$4,"Enter smelter details", IF(ISERROR($V35),"",OFFSET('Smelter Look-up'!$F$4,$V35-4,0)))</f>
        <v>RMI</v>
      </c>
      <c r="H35" s="237">
        <f ca="1">IF(ISERROR($V35),"",OFFSET('Smelter Look-up'!$G$4,$V35-4,0))</f>
        <v>0</v>
      </c>
      <c r="I35" s="238" t="str">
        <f ca="1">IF(ISERROR($V35),"",OFFSET('Smelter Look-up'!$H$4,$V35-4,0))</f>
        <v>Pangkal Pinang</v>
      </c>
      <c r="J35" s="238" t="str">
        <f ca="1">IF(ISERROR($V35),"",OFFSET('Smelter Look-up'!$I$4,$V35-4,0))</f>
        <v>Kepulauan Bangka Belitung</v>
      </c>
      <c r="K35" s="240"/>
      <c r="L35" s="240"/>
      <c r="M35" s="240"/>
      <c r="N35" s="240"/>
      <c r="O35" s="240"/>
      <c r="P35" s="239"/>
      <c r="Q35" s="241" t="s">
        <v>15468</v>
      </c>
      <c r="R35" s="236" t="str">
        <f ca="1">IF(ISERROR($V35),"",OFFSET('Smelter Look-up'!$C$4,$V35-4,0)&amp;"")</f>
        <v>PT Tinindo Inter Nusa</v>
      </c>
      <c r="S35" s="250" t="str">
        <f t="shared" ca="1" si="0"/>
        <v>ID</v>
      </c>
      <c r="T35" s="250" t="str">
        <f ca="1">IF(B35="","",IF(ISERROR(MATCH($J35,SorP!$B$1:$B$6230,0)),"",INDIRECT("'SorP'!$A$"&amp;MATCH($J35,SorP!$B$1:$B$6230,0))))</f>
        <v>ID-BB</v>
      </c>
      <c r="U35" s="280"/>
      <c r="V35" s="281">
        <f ca="1">IF(C35="",NA(),MATCH($B35&amp;$C35,'Smelter Look-up'!$J:$J,0))</f>
        <v>471</v>
      </c>
      <c r="W35" s="282"/>
      <c r="X35" s="282">
        <f t="shared" ca="1" si="1"/>
        <v>0</v>
      </c>
      <c r="Y35" s="282"/>
      <c r="Z35" s="282"/>
      <c r="AB35" s="284" t="str">
        <f t="shared" ca="1" si="2"/>
        <v>TinPT Tinindo Inter Nusa</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Click here to return to Product List</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Bourns,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B. Product (or List of Products)</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Go to Product List tab to enter products this declaration applies to</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Marvella Sanchez</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Marvella.Sanchez@bourns.com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951-781-5307</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Cathy Godfrey</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cathy.godfrey@bourns.com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951-781-5008</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43277</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51">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Yes</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51">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http://www.bourns.com/docs/RoHS-Content/conflict_metals_statement.pdf?sfvrsn=f2ab84f1_11</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1452</v>
      </c>
      <c r="F61" s="111">
        <f>IF(B5=Declaration!Q9,1,0)</f>
        <v>1</v>
      </c>
      <c r="G61" s="85">
        <f>IF('Product List'!B6="",1,0)</f>
        <v>0</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 ca="1">IF(H62=0,"","Click here to provide smelter information")</f>
        <v/>
      </c>
      <c r="E62" s="88" t="s">
        <v>1452</v>
      </c>
      <c r="F62" s="111">
        <f>F25</f>
        <v>0</v>
      </c>
      <c r="G62" s="85">
        <f ca="1">IF(AND(COUNTIF(SmelterIdetifiedForMetal,"Tantalum")&gt;0,COUNTIF('Smelter List'!AB$5:AB$2493,"Tantalum?*")&gt;0),0,1)</f>
        <v>1</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 ca="1">IF(H65=0,"","Click here to provide smelter information")</f>
        <v/>
      </c>
      <c r="E65" s="88" t="s">
        <v>930</v>
      </c>
      <c r="F65" s="111">
        <f>F28</f>
        <v>0</v>
      </c>
      <c r="G65" s="85">
        <f ca="1">IF(AND(COUNTIF(SmelterIdetifiedForMetal,"Tungsten")&gt;0,COUNTIF('Smelter List'!AB$5:AB$2493,"Tungsten?*")&gt;0),0,1)</f>
        <v>1</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D8" sqref="D8"/>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50"/>
    </row>
    <row r="2" spans="1:6">
      <c r="A2" s="29"/>
      <c r="B2" s="152"/>
      <c r="C2" s="152"/>
      <c r="D2"/>
      <c r="E2" s="30"/>
    </row>
    <row r="3" spans="1:6">
      <c r="A3" s="29"/>
      <c r="B3" s="152"/>
      <c r="C3" s="152"/>
      <c r="D3" s="152"/>
      <c r="E3" s="30"/>
    </row>
    <row r="4" spans="1:6" ht="15.75" customHeight="1">
      <c r="A4" s="29"/>
      <c r="B4" s="443" t="s">
        <v>1026</v>
      </c>
      <c r="C4" s="443"/>
      <c r="D4" s="443"/>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31.5">
      <c r="A6" s="162"/>
      <c r="B6" s="153" t="s">
        <v>15438</v>
      </c>
      <c r="C6" s="116" t="s">
        <v>15439</v>
      </c>
      <c r="D6" s="116"/>
      <c r="E6" s="32"/>
      <c r="F6"/>
    </row>
    <row r="7" spans="1:6" s="33" customFormat="1" ht="31.5">
      <c r="A7" s="163"/>
      <c r="B7" s="153" t="s">
        <v>15440</v>
      </c>
      <c r="C7" s="116" t="s">
        <v>15441</v>
      </c>
      <c r="D7" s="116"/>
      <c r="E7" s="32"/>
      <c r="F7"/>
    </row>
    <row r="8" spans="1:6" s="33" customFormat="1" ht="31.5">
      <c r="A8" s="163"/>
      <c r="B8" s="153" t="s">
        <v>15442</v>
      </c>
      <c r="C8" s="116" t="s">
        <v>15443</v>
      </c>
      <c r="D8" s="116"/>
      <c r="E8" s="32"/>
      <c r="F8"/>
    </row>
    <row r="9" spans="1:6" s="33" customFormat="1" ht="31.5">
      <c r="A9" s="163"/>
      <c r="B9" s="153" t="s">
        <v>15444</v>
      </c>
      <c r="C9" s="116" t="s">
        <v>15443</v>
      </c>
      <c r="D9" s="116"/>
      <c r="E9" s="32"/>
      <c r="F9"/>
    </row>
    <row r="10" spans="1:6" s="33" customFormat="1" ht="31.5">
      <c r="A10" s="163"/>
      <c r="B10" s="153" t="s">
        <v>15445</v>
      </c>
      <c r="C10" s="116" t="s">
        <v>15443</v>
      </c>
      <c r="D10" s="116"/>
      <c r="E10" s="32"/>
      <c r="F10"/>
    </row>
    <row r="11" spans="1:6" s="33" customFormat="1" ht="31.5">
      <c r="A11" s="163"/>
      <c r="B11" s="153" t="s">
        <v>15446</v>
      </c>
      <c r="C11" s="116" t="s">
        <v>15443</v>
      </c>
      <c r="D11" s="116"/>
      <c r="E11" s="32"/>
      <c r="F11"/>
    </row>
    <row r="12" spans="1:6" s="33" customFormat="1" ht="31.5">
      <c r="A12" s="163"/>
      <c r="B12" s="153" t="s">
        <v>15447</v>
      </c>
      <c r="C12" s="116" t="s">
        <v>15443</v>
      </c>
      <c r="D12" s="116"/>
      <c r="E12" s="32"/>
      <c r="F12"/>
    </row>
    <row r="13" spans="1:6" s="33" customFormat="1" ht="31.5">
      <c r="A13" s="163"/>
      <c r="B13" s="153" t="s">
        <v>15448</v>
      </c>
      <c r="C13" s="116" t="s">
        <v>15443</v>
      </c>
      <c r="D13" s="116"/>
      <c r="E13" s="32"/>
      <c r="F13"/>
    </row>
    <row r="14" spans="1:6" s="33" customFormat="1" ht="31.5">
      <c r="A14" s="163"/>
      <c r="B14" s="153" t="s">
        <v>15449</v>
      </c>
      <c r="C14" s="116" t="s">
        <v>15443</v>
      </c>
      <c r="D14" s="116"/>
      <c r="E14" s="32"/>
      <c r="F14"/>
    </row>
    <row r="15" spans="1:6" s="33" customFormat="1" ht="31.5">
      <c r="A15" s="163"/>
      <c r="B15" s="153" t="s">
        <v>15450</v>
      </c>
      <c r="C15" s="116" t="s">
        <v>15451</v>
      </c>
      <c r="D15" s="116"/>
      <c r="E15" s="32"/>
      <c r="F15"/>
    </row>
    <row r="16" spans="1:6" s="33" customFormat="1" ht="31.5">
      <c r="A16" s="163"/>
      <c r="B16" s="153" t="s">
        <v>15452</v>
      </c>
      <c r="C16" s="116" t="s">
        <v>15453</v>
      </c>
      <c r="D16" s="116"/>
      <c r="E16" s="32"/>
      <c r="F16"/>
    </row>
    <row r="17" spans="1:6" s="33" customFormat="1" ht="31.5">
      <c r="A17" s="163"/>
      <c r="B17" s="153" t="s">
        <v>15454</v>
      </c>
      <c r="C17" s="116" t="s">
        <v>15455</v>
      </c>
      <c r="D17" s="116"/>
      <c r="E17" s="32"/>
      <c r="F17"/>
    </row>
    <row r="18" spans="1:6" s="33" customFormat="1" ht="31.5">
      <c r="A18" s="163"/>
      <c r="B18" s="153" t="s">
        <v>15456</v>
      </c>
      <c r="C18" s="116" t="s">
        <v>15457</v>
      </c>
      <c r="D18" s="116"/>
      <c r="E18" s="32"/>
      <c r="F18"/>
    </row>
    <row r="19" spans="1:6" s="33" customFormat="1" ht="31.5">
      <c r="A19" s="163"/>
      <c r="B19" s="153" t="s">
        <v>15458</v>
      </c>
      <c r="C19" s="116" t="s">
        <v>15459</v>
      </c>
      <c r="D19" s="116"/>
      <c r="E19" s="32"/>
      <c r="F19"/>
    </row>
    <row r="20" spans="1:6" s="33" customFormat="1" ht="31.5">
      <c r="A20" s="163"/>
      <c r="B20" s="153" t="s">
        <v>15460</v>
      </c>
      <c r="C20" s="116" t="s">
        <v>15461</v>
      </c>
      <c r="D20" s="116"/>
      <c r="E20" s="32"/>
      <c r="F20"/>
    </row>
    <row r="21" spans="1:6" s="33" customFormat="1" ht="15.75">
      <c r="A21" s="163"/>
      <c r="B21" s="153" t="s">
        <v>15462</v>
      </c>
      <c r="C21" s="116" t="s">
        <v>15463</v>
      </c>
      <c r="D21" s="116"/>
      <c r="E21" s="32"/>
      <c r="F21"/>
    </row>
    <row r="22" spans="1:6" s="33" customFormat="1" ht="15.75">
      <c r="A22" s="163"/>
      <c r="B22" s="153" t="s">
        <v>15464</v>
      </c>
      <c r="C22" s="116" t="s">
        <v>15465</v>
      </c>
      <c r="D22" s="116"/>
      <c r="E22" s="32"/>
      <c r="F22"/>
    </row>
    <row r="23" spans="1:6" s="33" customFormat="1" ht="15.75">
      <c r="A23" s="163"/>
      <c r="B23" s="153" t="s">
        <v>15466</v>
      </c>
      <c r="C23" s="116" t="s">
        <v>15467</v>
      </c>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6" t="str">
        <f ca="1">OFFSET(L!$C$1,MATCH("General"&amp;"Cpy",L!$A:$A,0)-1,SL,,)</f>
        <v>© 2018 Responsible Minerals Initiative. All rights reserved.</v>
      </c>
      <c r="C1001" s="446"/>
      <c r="D1001" s="446"/>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Marvella Sanchez</cp:lastModifiedBy>
  <cp:lastPrinted>2015-04-21T20:47:43Z</cp:lastPrinted>
  <dcterms:created xsi:type="dcterms:W3CDTF">2010-06-21T21:00:23Z</dcterms:created>
  <dcterms:modified xsi:type="dcterms:W3CDTF">2018-06-26T16:13:44Z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