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F117" i="5"/>
  <c r="B23" i="6" l="1"/>
  <c r="B43" i="6" s="1"/>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I1432" i="5"/>
  <c r="H2424" i="5"/>
  <c r="J2388" i="5"/>
  <c r="E2388" i="5"/>
  <c r="X2388" i="5" s="1"/>
  <c r="I2107" i="5"/>
  <c r="H1879" i="5"/>
  <c r="I1548" i="5"/>
  <c r="E1879" i="5"/>
  <c r="X1879" i="5" s="1"/>
  <c r="R2363" i="5"/>
  <c r="H2123" i="5"/>
  <c r="G1548" i="5"/>
  <c r="I2292" i="5"/>
  <c r="R1234" i="5"/>
  <c r="H1070" i="5"/>
  <c r="R277" i="5"/>
  <c r="H165" i="5"/>
  <c r="J539" i="5"/>
  <c r="J545" i="5"/>
  <c r="H39" i="5"/>
  <c r="F301" i="5"/>
  <c r="G389"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G1473" i="5"/>
  <c r="F1105" i="5"/>
  <c r="H2433" i="5"/>
  <c r="I1637" i="5"/>
  <c r="I127" i="5"/>
  <c r="H1173" i="5"/>
  <c r="E1377" i="5"/>
  <c r="X1377" i="5" s="1"/>
  <c r="E183" i="5"/>
  <c r="X183" i="5" s="1"/>
  <c r="F657" i="5"/>
  <c r="F793" i="5"/>
  <c r="F399" i="5"/>
  <c r="H1573" i="5"/>
  <c r="R2257" i="5"/>
  <c r="J937" i="5"/>
  <c r="G1445" i="5"/>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E35" i="5"/>
  <c r="X35" i="5" s="1"/>
  <c r="J91" i="5"/>
  <c r="H467" i="5"/>
  <c r="G385" i="5"/>
  <c r="R27"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B24" i="5" l="1"/>
  <c r="C24" i="5"/>
  <c r="B25" i="5"/>
  <c r="C25" i="5"/>
  <c r="B12" i="5"/>
  <c r="B16" i="5"/>
  <c r="B20" i="5"/>
  <c r="C12" i="5"/>
  <c r="C16" i="5"/>
  <c r="C20" i="5"/>
  <c r="B23" i="5"/>
  <c r="B9" i="5"/>
  <c r="B13" i="5"/>
  <c r="B17" i="5"/>
  <c r="B21" i="5"/>
  <c r="C9" i="5"/>
  <c r="C13" i="5"/>
  <c r="C17" i="5"/>
  <c r="C21" i="5"/>
  <c r="B10" i="5"/>
  <c r="B14" i="5"/>
  <c r="B18" i="5"/>
  <c r="B22" i="5"/>
  <c r="B15" i="5"/>
  <c r="C10" i="5"/>
  <c r="C14" i="5"/>
  <c r="C18" i="5"/>
  <c r="C22" i="5"/>
  <c r="B11" i="5"/>
  <c r="C11" i="5"/>
  <c r="C15" i="5"/>
  <c r="C19" i="5"/>
  <c r="C23" i="5"/>
  <c r="B19" i="5"/>
  <c r="B8" i="5"/>
  <c r="C8" i="5"/>
  <c r="B5" i="5"/>
  <c r="C5" i="5"/>
  <c r="B6" i="5"/>
  <c r="C6" i="5"/>
  <c r="B7" i="5"/>
  <c r="C7" i="5"/>
  <c r="C9" i="6"/>
  <c r="B48" i="6"/>
  <c r="C12" i="6"/>
  <c r="C13" i="6"/>
  <c r="C10" i="6"/>
  <c r="C5" i="6"/>
  <c r="C11" i="6"/>
  <c r="C8" i="6"/>
  <c r="C7" i="6"/>
  <c r="B28" i="6"/>
  <c r="G28" i="6" s="1"/>
  <c r="B33" i="6"/>
  <c r="G33" i="6" s="1"/>
  <c r="G23" i="6"/>
  <c r="H23" i="6" s="1"/>
  <c r="D23" i="6" s="1"/>
  <c r="B38" i="6"/>
  <c r="B45" i="6"/>
  <c r="G20" i="6"/>
  <c r="H20" i="6" s="1"/>
  <c r="B25" i="6"/>
  <c r="G25" i="6" s="1"/>
  <c r="F25" i="6"/>
  <c r="B40" i="6"/>
  <c r="F26" i="6"/>
  <c r="F63" i="6" s="1"/>
  <c r="B30" i="6"/>
  <c r="F41" i="6"/>
  <c r="B41" i="6"/>
  <c r="G41" i="6" s="1"/>
  <c r="H41" i="6" s="1"/>
  <c r="F36" i="6"/>
  <c r="G21" i="6"/>
  <c r="H21" i="6" s="1"/>
  <c r="B26" i="6"/>
  <c r="B36" i="6"/>
  <c r="B46" i="6"/>
  <c r="G46" i="6" s="1"/>
  <c r="G31" i="6"/>
  <c r="H22" i="6"/>
  <c r="D22" i="6" s="1"/>
  <c r="G47" i="6"/>
  <c r="G42" i="6"/>
  <c r="G40" i="6"/>
  <c r="G26" i="6"/>
  <c r="H26" i="6" s="1"/>
  <c r="C26" i="6" s="1"/>
  <c r="G27" i="6"/>
  <c r="G32" i="6"/>
  <c r="G45" i="6"/>
  <c r="G43" i="6"/>
  <c r="G38" i="6"/>
  <c r="G35" i="6"/>
  <c r="G37" i="6"/>
  <c r="G30" i="6"/>
  <c r="G48" i="6"/>
  <c r="F28"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V25" i="5" l="1"/>
  <c r="G25" i="5" s="1"/>
  <c r="AB25" i="5"/>
  <c r="V24" i="5"/>
  <c r="AB24" i="5"/>
  <c r="V22" i="5"/>
  <c r="G22" i="5" s="1"/>
  <c r="AB10" i="5"/>
  <c r="AB9" i="5"/>
  <c r="V18" i="5"/>
  <c r="V21" i="5"/>
  <c r="G21" i="5" s="1"/>
  <c r="AB23" i="5"/>
  <c r="AB19" i="5"/>
  <c r="V14" i="5"/>
  <c r="G14" i="5" s="1"/>
  <c r="V17" i="5"/>
  <c r="G17" i="5" s="1"/>
  <c r="V20" i="5"/>
  <c r="G20" i="5" s="1"/>
  <c r="V23" i="5"/>
  <c r="V10" i="5"/>
  <c r="V13" i="5"/>
  <c r="G13" i="5" s="1"/>
  <c r="V16" i="5"/>
  <c r="V19" i="5"/>
  <c r="AB15" i="5"/>
  <c r="V9" i="5"/>
  <c r="G9" i="5" s="1"/>
  <c r="V12" i="5"/>
  <c r="V15" i="5"/>
  <c r="G15" i="5" s="1"/>
  <c r="AB22" i="5"/>
  <c r="AB21" i="5"/>
  <c r="AB20" i="5"/>
  <c r="V11" i="5"/>
  <c r="G11" i="5" s="1"/>
  <c r="AB18" i="5"/>
  <c r="AB17" i="5"/>
  <c r="AB16" i="5"/>
  <c r="AB11" i="5"/>
  <c r="AB14" i="5"/>
  <c r="AB13" i="5"/>
  <c r="AB12" i="5"/>
  <c r="V7" i="5"/>
  <c r="G7" i="5" s="1"/>
  <c r="AB7" i="5"/>
  <c r="V6" i="5"/>
  <c r="AB6" i="5"/>
  <c r="V5" i="5"/>
  <c r="G5" i="5" s="1"/>
  <c r="AB5" i="5"/>
  <c r="V8" i="5"/>
  <c r="AB8" i="5"/>
  <c r="C23" i="6"/>
  <c r="K65" i="6"/>
  <c r="H25" i="6"/>
  <c r="C25" i="6" s="1"/>
  <c r="H42" i="6"/>
  <c r="D42" i="6" s="1"/>
  <c r="H36" i="6"/>
  <c r="C36" i="6" s="1"/>
  <c r="D20" i="6"/>
  <c r="K62" i="6"/>
  <c r="C62" i="6" s="1"/>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E24" i="5" l="1"/>
  <c r="J24" i="5"/>
  <c r="H24" i="5"/>
  <c r="R24" i="5"/>
  <c r="F24" i="5"/>
  <c r="I24" i="5"/>
  <c r="G24" i="5"/>
  <c r="F25" i="5"/>
  <c r="J25" i="5"/>
  <c r="R25" i="5"/>
  <c r="I25" i="5"/>
  <c r="H25" i="5"/>
  <c r="E25" i="5"/>
  <c r="H19" i="5"/>
  <c r="F19" i="5"/>
  <c r="R19" i="5"/>
  <c r="J19" i="5"/>
  <c r="E19" i="5"/>
  <c r="I19" i="5"/>
  <c r="H16" i="5"/>
  <c r="R16" i="5"/>
  <c r="E16" i="5"/>
  <c r="I16" i="5"/>
  <c r="J16" i="5"/>
  <c r="F16" i="5"/>
  <c r="E20" i="5"/>
  <c r="I20" i="5"/>
  <c r="F20" i="5"/>
  <c r="J20" i="5"/>
  <c r="H20" i="5"/>
  <c r="R20" i="5"/>
  <c r="F12" i="5"/>
  <c r="I12" i="5"/>
  <c r="E12" i="5"/>
  <c r="J12" i="5"/>
  <c r="R12" i="5"/>
  <c r="H12" i="5"/>
  <c r="G16" i="5"/>
  <c r="F9" i="5"/>
  <c r="I9" i="5"/>
  <c r="J9" i="5"/>
  <c r="H9" i="5"/>
  <c r="R9" i="5"/>
  <c r="E9" i="5"/>
  <c r="E23" i="5"/>
  <c r="F23" i="5"/>
  <c r="J23" i="5"/>
  <c r="I23" i="5"/>
  <c r="H23" i="5"/>
  <c r="R23" i="5"/>
  <c r="R11" i="5"/>
  <c r="I11" i="5"/>
  <c r="J11" i="5"/>
  <c r="F11" i="5"/>
  <c r="E11" i="5"/>
  <c r="H11" i="5"/>
  <c r="I13" i="5"/>
  <c r="F13" i="5"/>
  <c r="J13" i="5"/>
  <c r="R13" i="5"/>
  <c r="H13" i="5"/>
  <c r="E13" i="5"/>
  <c r="F17" i="5"/>
  <c r="H17" i="5"/>
  <c r="R17" i="5"/>
  <c r="J17" i="5"/>
  <c r="I17" i="5"/>
  <c r="E17" i="5"/>
  <c r="I10" i="5"/>
  <c r="F10" i="5"/>
  <c r="R10" i="5"/>
  <c r="E10" i="5"/>
  <c r="J10" i="5"/>
  <c r="H10" i="5"/>
  <c r="J14" i="5"/>
  <c r="F14" i="5"/>
  <c r="H14" i="5"/>
  <c r="I14" i="5"/>
  <c r="R14" i="5"/>
  <c r="E14" i="5"/>
  <c r="G12" i="5"/>
  <c r="G10" i="5"/>
  <c r="E21" i="5"/>
  <c r="F21" i="5"/>
  <c r="J21" i="5"/>
  <c r="I21" i="5"/>
  <c r="H21" i="5"/>
  <c r="R21" i="5"/>
  <c r="R15" i="5"/>
  <c r="H15" i="5"/>
  <c r="J15" i="5"/>
  <c r="E15" i="5"/>
  <c r="I15" i="5"/>
  <c r="F15" i="5"/>
  <c r="G19" i="5"/>
  <c r="G23" i="5"/>
  <c r="R18" i="5"/>
  <c r="J18" i="5"/>
  <c r="H18" i="5"/>
  <c r="G18" i="5"/>
  <c r="F18" i="5"/>
  <c r="E18" i="5"/>
  <c r="I18" i="5"/>
  <c r="E22" i="5"/>
  <c r="H22" i="5"/>
  <c r="R22" i="5"/>
  <c r="I22" i="5"/>
  <c r="F22" i="5"/>
  <c r="J22" i="5"/>
  <c r="J8" i="5"/>
  <c r="H8" i="5"/>
  <c r="R8" i="5"/>
  <c r="E8" i="5"/>
  <c r="I8" i="5"/>
  <c r="F8" i="5"/>
  <c r="J6" i="5"/>
  <c r="H6" i="5"/>
  <c r="R6" i="5"/>
  <c r="F6" i="5"/>
  <c r="E6" i="5"/>
  <c r="I6" i="5"/>
  <c r="I5" i="5"/>
  <c r="H5" i="5"/>
  <c r="E5" i="5"/>
  <c r="R5" i="5"/>
  <c r="F5" i="5"/>
  <c r="J5" i="5"/>
  <c r="G6" i="5"/>
  <c r="G8" i="5"/>
  <c r="J7" i="5"/>
  <c r="R7" i="5"/>
  <c r="E7" i="5"/>
  <c r="I7" i="5"/>
  <c r="H7" i="5"/>
  <c r="F7" i="5"/>
  <c r="D32" i="6"/>
  <c r="C42" i="6"/>
  <c r="D25"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25" i="5"/>
  <c r="T24" i="5"/>
  <c r="T10" i="5"/>
  <c r="T23" i="5"/>
  <c r="T15" i="5"/>
  <c r="T16" i="5"/>
  <c r="T19" i="5"/>
  <c r="T9" i="5"/>
  <c r="T17" i="5"/>
  <c r="T14" i="5"/>
  <c r="T12" i="5"/>
  <c r="T13" i="5"/>
  <c r="T11" i="5"/>
  <c r="T22" i="5"/>
  <c r="T18" i="5"/>
  <c r="T20" i="5"/>
  <c r="T21" i="5"/>
  <c r="T8" i="5"/>
  <c r="T5" i="5"/>
  <c r="T7" i="5"/>
  <c r="T6" i="5"/>
  <c r="X25" i="5" l="1"/>
  <c r="X24" i="5"/>
  <c r="X23" i="5"/>
  <c r="X15" i="5"/>
  <c r="X17" i="5"/>
  <c r="X9" i="5"/>
  <c r="X12" i="5"/>
  <c r="X20" i="5"/>
  <c r="X19" i="5"/>
  <c r="X22" i="5"/>
  <c r="X14" i="5"/>
  <c r="X10" i="5"/>
  <c r="X21" i="5"/>
  <c r="X11" i="5"/>
  <c r="X18" i="5"/>
  <c r="X13" i="5"/>
  <c r="X16" i="5"/>
  <c r="X7" i="5"/>
  <c r="X5" i="5"/>
  <c r="C65" i="6"/>
  <c r="C63" i="6"/>
  <c r="X8" i="5"/>
  <c r="H64" i="6"/>
  <c r="D64" i="6" s="1"/>
  <c r="C64" i="6"/>
  <c r="X6" i="5"/>
  <c r="G66" i="6"/>
  <c r="H66" i="6" s="1"/>
  <c r="H67" i="6" s="1"/>
  <c r="D2" i="6" s="1"/>
  <c r="D52" i="6"/>
  <c r="C52" i="6"/>
  <c r="D51" i="6"/>
  <c r="C51" i="6"/>
  <c r="S25" i="5"/>
  <c r="S24" i="5"/>
  <c r="S12" i="5"/>
  <c r="S23" i="5"/>
  <c r="S14" i="5"/>
  <c r="S18" i="5"/>
  <c r="S20" i="5"/>
  <c r="S15" i="5"/>
  <c r="S10" i="5"/>
  <c r="S13" i="5"/>
  <c r="S19" i="5"/>
  <c r="S9" i="5"/>
  <c r="S11" i="5"/>
  <c r="S17" i="5"/>
  <c r="S21" i="5"/>
  <c r="S16" i="5"/>
  <c r="S22" i="5"/>
  <c r="S7" i="5"/>
  <c r="S6" i="5"/>
  <c r="S5" i="5"/>
  <c r="S8"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<sst xmlns="http://schemas.openxmlformats.org/spreadsheetml/2006/main" count="21694" uniqueCount="15452">
  <si>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</si>
  <si>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</si>
  <si>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</si>
  <si>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</si>
  <si>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</si>
  <si>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</si>
  <si>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</si>
  <si>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</si>
  <si>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</si>
  <si>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</si>
  <si>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</si>
  <si>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</si>
  <si>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</si>
  <si>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</si>
  <si>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</si>
  <si>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</si>
  <si>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</si>
  <si>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</si>
  <si>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</si>
  <si>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</si>
  <si>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</si>
  <si>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</si>
  <si>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</si>
  <si>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</si>
  <si>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</si>
  <si>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</si>
  <si>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</si>
  <si>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</si>
  <si>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</si>
  <si>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</si>
  <si>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</si>
  <si>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</si>
  <si>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</si>
  <si>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</si>
  <si>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</si>
  <si>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</si>
  <si>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</si>
  <si>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</si>
  <si>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</si>
  <si>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</si>
  <si>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</si>
  <si>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</si>
  <si>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</si>
  <si>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</si>
  <si>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</si>
  <si>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</si>
  <si>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</si>
  <si>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</si>
  <si>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</si>
  <si>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</si>
  <si>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</si>
  <si>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</si>
  <si>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</si>
  <si>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</si>
  <si>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</si>
  <si>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</si>
  <si>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</si>
  <si>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</si>
  <si>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</si>
  <si>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</si>
  <si>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</si>
  <si>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</si>
  <si>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</si>
  <si>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</si>
  <si>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</si>
  <si>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</si>
  <si>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</si>
  <si>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</si>
  <si>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</si>
  <si>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</si>
  <si>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</si>
  <si>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</si>
  <si>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</si>
  <si>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</si>
  <si>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</si>
  <si>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</si>
  <si>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</si>
  <si>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</si>
  <si>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</si>
  <si>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</si>
  <si>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</si>
  <si>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</si>
  <si>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</si>
  <si>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</si>
  <si>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</si>
  <si>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</si>
  <si>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</si>
  <si>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</si>
  <si>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</si>
  <si>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</si>
  <si>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</si>
  <si>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</si>
  <si>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</si>
  <si>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</si>
  <si>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</si>
  <si>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</si>
  <si>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</si>
  <si>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</si>
  <si>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</si>
  <si>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</si>
  <si>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</si>
  <si>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</si>
  <si>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</si>
  <si>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</si>
  <si>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</si>
  <si>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</si>
  <si>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</si>
  <si>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</si>
  <si>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</si>
  <si>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</si>
  <si>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</si>
  <si>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</si>
  <si>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</si>
  <si>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</si>
  <si>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</si>
  <si>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</si>
  <si>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</si>
  <si>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</si>
  <si>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</si>
  <si>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</si>
  <si>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</si>
  <si>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</si>
  <si>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</si>
  <si>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</si>
  <si>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</si>
  <si>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</si>
  <si>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</si>
  <si>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</si>
  <si>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</si>
  <si>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</si>
  <si>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</si>
  <si>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</si>
  <si>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</si>
  <si>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</si>
  <si>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</si>
  <si>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</si>
  <si>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</si>
  <si>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</si>
  <si>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</si>
  <si>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</si>
  <si>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</si>
  <si>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</si>
  <si>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</si>
  <si>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</si>
  <si>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</si>
  <si>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</si>
  <si>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</si>
  <si>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</si>
  <si>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</si>
  <si>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</si>
  <si>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</si>
  <si>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</si>
  <si>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</si>
  <si>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</si>
  <si>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</si>
  <si>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</si>
  <si>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</si>
  <si>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</si>
  <si>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</si>
  <si>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</si>
  <si>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</si>
  <si>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</si>
  <si>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</si>
  <si>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</si>
  <si>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</si>
  <si>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</si>
  <si>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</si>
  <si>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</si>
  <si>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</si>
  <si>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</si>
  <si>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</si>
  <si>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</si>
  <si>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</si>
  <si>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</si>
  <si>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</si>
  <si>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</si>
  <si>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</si>
  <si>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</si>
  <si>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</si>
  <si>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</si>
  <si>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</si>
  <si>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</si>
  <si>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</si>
  <si>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</si>
  <si>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</si>
  <si>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</si>
  <si>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</si>
  <si>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</si>
  <si>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</si>
  <si>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</si>
  <si>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</si>
  <si>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</si>
  <si>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</si>
  <si>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</si>
  <si>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</si>
  <si>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</si>
  <si>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</si>
  <si>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</si>
  <si>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</si>
  <si>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</si>
  <si>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</si>
  <si>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</si>
  <si>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</si>
  <si>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</si>
  <si>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</si>
  <si>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</si>
  <si>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</si>
  <si>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</si>
  <si>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</si>
  <si>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</si>
  <si>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</si>
  <si>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</si>
  <si>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</si>
  <si>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</si>
  <si>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</si>
  <si>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</si>
  <si>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</si>
  <si>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</si>
  <si>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</si>
  <si>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</si>
  <si>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</si>
  <si>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</si>
  <si>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</si>
  <si>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</si>
  <si>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</si>
  <si>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</si>
  <si>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</si>
  <si>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</si>
  <si>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</si>
  <si>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</si>
  <si>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</si>
  <si>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</si>
  <si>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</si>
  <si>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</si>
  <si>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</si>
  <si>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</si>
  <si>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</si>
  <si>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</si>
  <si>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</si>
  <si>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</si>
  <si>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</si>
  <si>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</si>
  <si>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</si>
  <si>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</si>
  <si>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</si>
  <si>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</si>
  <si>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</si>
  <si>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</si>
  <si>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</si>
  <si>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</si>
  <si>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</si>
  <si>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</si>
  <si>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</si>
  <si>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</si>
  <si>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</si>
  <si>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</si>
  <si>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</si>
  <si>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</si>
  <si>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</si>
  <si>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</si>
  <si>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</si>
  <si>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</si>
  <si>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</si>
  <si>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</si>
  <si>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</si>
  <si>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</si>
  <si>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</si>
  <si>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</si>
  <si>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</si>
  <si>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</si>
  <si>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</si>
  <si>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</si>
  <si>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</si>
  <si>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</si>
  <si>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</si>
  <si>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</si>
  <si>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</si>
  <si>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</si>
  <si>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</si>
  <si>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</si>
  <si>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</si>
  <si>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</si>
  <si>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</si>
  <si>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</si>
  <si>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</si>
  <si>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</si>
  <si>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</si>
  <si>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</si>
  <si>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</si>
  <si>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</si>
  <si>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</si>
  <si>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</si>
  <si>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</si>
  <si>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</si>
  <si>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</si>
  <si>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</si>
  <si>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</si>
  <si>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</si>
  <si>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</si>
  <si>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</si>
  <si>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</si>
  <si>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</si>
  <si>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</si>
  <si>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</si>
  <si>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</si>
  <si>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</si>
  <si>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</si>
  <si>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</si>
  <si>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</si>
  <si>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</si>
  <si>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</si>
  <si>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</si>
  <si>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</si>
  <si>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</si>
  <si>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</si>
  <si>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</si>
  <si>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</si>
  <si>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</si>
  <si>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</si>
  <si>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</si>
  <si>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</si>
  <si>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</si>
  <si>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</si>
  <si>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</si>
  <si>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</si>
  <si>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</si>
  <si>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</si>
  <si>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</si>
  <si>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</si>
  <si>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</si>
  <si>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</si>
  <si>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</si>
  <si>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</si>
  <si>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</si>
  <si>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</si>
  <si>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</si>
  <si>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</si>
  <si>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</si>
  <si>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</si>
  <si>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</si>
  <si>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</si>
  <si>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</si>
  <si>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</si>
  <si>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</si>
  <si>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</si>
  <si>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</si>
  <si>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</si>
  <si>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</si>
  <si>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</si>
  <si>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</si>
  <si>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</si>
  <si>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</si>
  <si>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</si>
  <si>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</si>
  <si>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</si>
  <si>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</si>
  <si>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</si>
  <si>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</si>
  <si>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</si>
  <si>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</si>
  <si>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</si>
  <si>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</si>
  <si>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</si>
  <si>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</si>
  <si>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</si>
  <si>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</si>
  <si>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</si>
  <si>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</si>
  <si>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</si>
  <si>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</si>
  <si>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</si>
  <si>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</si>
  <si>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</si>
  <si>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</si>
  <si>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</si>
  <si>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</si>
  <si>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</si>
  <si>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</si>
  <si>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</si>
  <si>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</si>
  <si>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</si>
  <si>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</si>
  <si>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</si>
  <si>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</si>
  <si>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</si>
  <si>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</si>
  <si>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</si>
  <si>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</si>
  <si>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</si>
  <si>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</si>
  <si>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</si>
  <si>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</si>
  <si>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</si>
  <si>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</si>
  <si>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</si>
  <si>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</si>
  <si>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</si>
  <si>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</si>
  <si>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</si>
  <si>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</si>
  <si>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</si>
  <si>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</si>
  <si>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</si>
  <si>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</si>
  <si>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</si>
  <si>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</si>
  <si>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</si>
  <si>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</si>
  <si>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</si>
  <si>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</si>
  <si>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</si>
  <si>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</si>
  <si>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</si>
  <si>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</si>
  <si>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</si>
  <si>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</si>
  <si>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</si>
  <si>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</si>
  <si>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</si>
  <si>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</si>
  <si>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</si>
  <si>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</si>
  <si>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</si>
  <si>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</si>
  <si>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</si>
  <si>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</si>
  <si>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</si>
  <si>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</si>
  <si>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</si>
  <si>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</si>
  <si>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</si>
  <si>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</si>
  <si>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</si>
  <si>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</si>
  <si>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</si>
  <si>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</si>
  <si>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</si>
  <si>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</si>
  <si>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</si>
  <si>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</si>
  <si>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</si>
  <si>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</si>
  <si>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</si>
  <si>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</si>
  <si>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</si>
  <si>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</si>
  <si>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</si>
  <si>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</si>
  <si>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</si>
  <si>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</si>
  <si>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</si>
  <si>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</si>
  <si>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</si>
  <si>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</si>
  <si>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</si>
  <si>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</si>
  <si>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</si>
  <si>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</si>
  <si>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</si>
  <si>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</si>
  <si>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</si>
  <si>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</si>
  <si>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</si>
  <si>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</si>
  <si>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</si>
  <si>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</si>
  <si>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</si>
  <si>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</si>
  <si>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</si>
  <si>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</si>
  <si>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</si>
  <si>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</si>
  <si>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</si>
  <si>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</si>
  <si>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</si>
  <si>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</si>
  <si>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</si>
  <si>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</si>
  <si>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</si>
  <si>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</si>
  <si>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</si>
  <si>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</si>
  <si>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</si>
  <si>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</si>
  <si>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</si>
  <si>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</si>
  <si>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</si>
  <si>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</si>
  <si>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</si>
  <si>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</si>
  <si>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</si>
  <si>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</si>
  <si>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</si>
  <si>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</si>
  <si>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</si>
  <si>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</si>
  <si>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</si>
  <si>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</si>
  <si>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</si>
  <si>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</si>
  <si>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</si>
  <si>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</si>
  <si>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</si>
  <si>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</si>
  <si>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</si>
  <si>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</si>
  <si>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</si>
  <si>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</si>
  <si>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</si>
  <si>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</si>
  <si>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</si>
  <si>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</si>
  <si>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</si>
  <si>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</si>
  <si>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</si>
  <si>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</si>
  <si>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</si>
  <si>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</si>
  <si>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</si>
  <si>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</si>
  <si>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</si>
  <si>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</si>
  <si>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</si>
  <si>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</si>
  <si>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</si>
  <si>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</si>
  <si>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</si>
  <si>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</si>
  <si>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</si>
  <si>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</si>
  <si>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</si>
  <si>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</si>
  <si>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</si>
  <si>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</si>
  <si>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</si>
  <si>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</si>
  <si>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</si>
  <si>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</si>
  <si>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</si>
  <si>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</si>
  <si>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</si>
  <si>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</si>
  <si>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</si>
  <si>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</si>
  <si>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</si>
  <si>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</si>
  <si>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</si>
  <si>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</si>
  <si>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</si>
  <si>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</si>
  <si>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</si>
  <si>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</si>
  <si>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</si>
  <si>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</si>
  <si>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</si>
  <si>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</si>
  <si>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</si>
  <si>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</si>
  <si>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</si>
  <si>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</si>
  <si>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</si>
  <si>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</si>
  <si>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</si>
  <si>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</si>
  <si>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</si>
  <si>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</si>
  <si>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</si>
  <si>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</si>
  <si>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</si>
  <si>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</si>
  <si>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</si>
  <si>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</si>
  <si>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</si>
  <si>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</si>
  <si>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</si>
  <si>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</si>
  <si>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</si>
  <si>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</si>
  <si>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</si>
  <si>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</si>
  <si>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</si>
  <si>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</si>
  <si>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</si>
  <si>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</si>
  <si>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</si>
  <si>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</si>
  <si>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</si>
  <si>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</si>
  <si>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</si>
  <si>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</si>
  <si>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</si>
  <si>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</si>
  <si>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</si>
  <si>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</si>
  <si>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</si>
  <si>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</si>
  <si>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</si>
  <si>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</si>
  <si>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</si>
  <si>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</si>
  <si>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</si>
  <si>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</si>
  <si>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</si>
  <si>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</si>
  <si>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</si>
  <si>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</si>
  <si>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</si>
  <si>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</si>
  <si>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</si>
  <si>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</si>
  <si>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</si>
  <si>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</si>
  <si>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</si>
  <si>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</si>
  <si>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</si>
  <si>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</si>
  <si>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</si>
  <si>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</si>
  <si>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</si>
  <si>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</si>
  <si>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</si>
  <si>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</si>
  <si>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</si>
  <si>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</si>
  <si>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</si>
  <si>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</si>
  <si>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</si>
  <si>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</si>
  <si>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</si>
  <si>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</si>
  <si>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</si>
  <si>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</si>
  <si>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</si>
  <si>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</si>
  <si>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</si>
  <si>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</si>
  <si>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</si>
  <si>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</si>
  <si>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</si>
  <si>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</si>
  <si>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</si>
  <si>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</si>
  <si>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</si>
  <si>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</si>
  <si>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</si>
  <si>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</si>
  <si>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</si>
  <si>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</si>
  <si>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</si>
  <si>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</si>
  <si>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</si>
  <si>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</si>
  <si>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</si>
  <si>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</si>
  <si>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</si>
  <si>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</si>
  <si>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</si>
  <si>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</si>
  <si>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</si>
  <si>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</si>
  <si>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</si>
  <si>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</si>
  <si>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</si>
  <si>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</si>
  <si>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</si>
  <si>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</si>
  <si>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</si>
  <si>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</si>
  <si>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</si>
  <si>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</si>
  <si>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</si>
  <si>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</si>
  <si>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</si>
  <si>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</si>
  <si>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</si>
  <si>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</si>
  <si>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</si>
  <si>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</si>
  <si>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</si>
  <si>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</si>
  <si>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</si>
  <si>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</si>
  <si>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</si>
  <si>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</si>
  <si>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</si>
  <si>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</si>
  <si>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</si>
  <si>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</si>
  <si>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</si>
  <si>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</si>
  <si>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</si>
  <si>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</si>
  <si>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</si>
  <si>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</si>
  <si>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</si>
  <si>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</si>
  <si>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</si>
  <si>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</si>
  <si>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</si>
  <si>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</si>
  <si>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</si>
  <si>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</si>
  <si>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</si>
  <si>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</si>
  <si>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</si>
  <si>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</si>
  <si>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</si>
  <si>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</si>
  <si>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</si>
  <si>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</si>
  <si>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</si>
  <si>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</si>
  <si>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</si>
  <si>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</si>
  <si>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</si>
  <si>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</si>
  <si>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</si>
  <si>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</si>
  <si>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</si>
  <si>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</si>
  <si>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</si>
  <si>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</si>
  <si>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</si>
  <si>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</si>
  <si>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</si>
  <si>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</si>
  <si>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</si>
  <si>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</si>
  <si>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</si>
  <si>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</si>
  <si>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</si>
  <si>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</si>
  <si>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</si>
  <si>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</si>
  <si>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</si>
  <si>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</si>
  <si>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</si>
  <si>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</si>
  <si>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</si>
  <si>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</si>
  <si>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</si>
  <si>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</si>
  <si>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</si>
  <si>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</si>
  <si>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</si>
  <si>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</si>
  <si>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</si>
  <si>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</si>
  <si>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</si>
  <si>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</si>
  <si>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</si>
  <si>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</si>
  <si>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</si>
  <si>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</si>
  <si>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</si>
  <si>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</si>
  <si>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</si>
  <si>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</si>
  <si>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</si>
  <si>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</si>
  <si>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</si>
  <si>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</si>
  <si>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</si>
  <si>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</si>
  <si>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</si>
  <si>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</si>
  <si>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</si>
  <si>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</si>
  <si>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</si>
  <si>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</si>
  <si>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</si>
  <si>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</si>
  <si>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</si>
  <si>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</si>
  <si>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</si>
  <si>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</si>
  <si>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</si>
  <si>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</si>
  <si>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</si>
  <si>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</si>
  <si>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</si>
  <si>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</si>
  <si>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</si>
  <si>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</si>
  <si>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</si>
  <si>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</si>
  <si>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</si>
  <si>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</si>
  <si>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</si>
  <si>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</si>
  <si>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</si>
  <si>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</si>
  <si>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</si>
  <si>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</si>
  <si>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</si>
  <si>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</si>
  <si>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</si>
  <si>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</si>
  <si>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</si>
  <si>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</si>
  <si>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</si>
  <si>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</si>
  <si>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</si>
  <si>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</si>
  <si>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</si>
  <si>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</si>
  <si>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</si>
  <si>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</si>
  <si>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</si>
  <si>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</si>
  <si>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</si>
  <si>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</si>
  <si>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</si>
  <si>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</si>
  <si>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</si>
  <si>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</si>
  <si>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</si>
  <si>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</si>
  <si>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</si>
  <si>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</si>
  <si>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</si>
  <si>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</si>
  <si>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</si>
  <si>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</si>
  <si>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</si>
  <si>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</si>
  <si>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</si>
  <si>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</si>
  <si>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</si>
  <si>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</si>
  <si>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</si>
  <si>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</si>
  <si>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</si>
  <si>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</si>
  <si>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</si>
  <si>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</si>
  <si>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</si>
  <si>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</si>
  <si>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</si>
  <si>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</si>
  <si>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</si>
  <si>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</si>
  <si>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</si>
  <si>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</si>
  <si>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</si>
  <si>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</si>
  <si>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</si>
  <si>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</si>
  <si>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</si>
  <si>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</si>
  <si>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</si>
  <si>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</si>
  <si>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</si>
  <si>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</si>
  <si>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</si>
  <si>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</si>
  <si>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</si>
  <si>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</si>
  <si>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</si>
  <si>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</si>
  <si>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</si>
  <si>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</si>
  <si>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</si>
  <si>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</si>
  <si>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</si>
  <si>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</si>
  <si>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</si>
  <si>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</si>
  <si>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</si>
  <si>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</si>
  <si>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</si>
  <si>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</si>
  <si>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</si>
  <si>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</si>
  <si>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</si>
  <si>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</si>
  <si>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</si>
  <si>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</si>
  <si>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</si>
  <si>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</si>
  <si>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</si>
  <si>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</si>
  <si>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</si>
  <si>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</si>
  <si>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</si>
  <si>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</si>
  <si>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</si>
  <si>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</si>
  <si>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</si>
  <si>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</si>
  <si>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</si>
  <si>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</si>
  <si>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</si>
  <si>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</si>
  <si>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</si>
  <si>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</si>
  <si>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</si>
  <si>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</si>
  <si>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</si>
  <si>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</si>
  <si>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</si>
  <si>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</si>
  <si>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</si>
  <si>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</si>
  <si>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</si>
  <si>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</si>
  <si>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</si>
  <si>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</si>
  <si>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</si>
  <si>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</si>
  <si>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</si>
  <si>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</si>
  <si>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</si>
  <si>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</si>
  <si>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</si>
  <si>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</si>
  <si>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</si>
  <si>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</si>
  <si>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</si>
  <si>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</si>
  <si>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</si>
  <si>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</si>
  <si>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</si>
  <si>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</si>
  <si>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</si>
  <si>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</si>
  <si>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</si>
  <si>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</si>
  <si>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</si>
  <si>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</si>
  <si>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</si>
  <si>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</si>
  <si>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</si>
  <si>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</si>
  <si>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</si>
  <si>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</si>
  <si>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</si>
  <si>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</si>
  <si>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</si>
  <si>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</si>
  <si>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</si>
  <si>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</si>
  <si>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</si>
  <si>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</si>
  <si>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</si>
  <si>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</si>
  <si>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</si>
  <si>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</si>
  <si>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</si>
  <si>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</si>
  <si>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</si>
  <si>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</si>
  <si>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</si>
  <si>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</si>
  <si>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</si>
  <si>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</si>
  <si>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</si>
  <si>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</si>
  <si>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</si>
  <si>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</si>
  <si>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</si>
  <si>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</si>
  <si>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</si>
  <si>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</si>
  <si>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</si>
  <si>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</si>
  <si>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</si>
  <si>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</si>
  <si>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</si>
  <si>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</si>
  <si>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</si>
  <si>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</si>
  <si>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</si>
  <si>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</si>
  <si>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</si>
  <si>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</si>
  <si>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</si>
  <si>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</si>
  <si>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</si>
  <si>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</si>
  <si>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</si>
  <si>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</si>
  <si>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</si>
  <si>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</si>
  <si>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</si>
  <si>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</si>
  <si>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</si>
  <si>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</si>
  <si>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</si>
  <si>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</si>
  <si>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</si>
  <si>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</si>
  <si>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</si>
  <si>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</si>
  <si>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</si>
  <si>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</si>
  <si>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</si>
  <si>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</si>
  <si>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</si>
  <si>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</si>
  <si>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</si>
  <si>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</si>
  <si>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</si>
  <si>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</si>
  <si>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</si>
  <si>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</si>
  <si>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</si>
  <si>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</si>
  <si>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</si>
  <si>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</si>
  <si>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</si>
  <si>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</si>
  <si>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</si>
  <si>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</si>
  <si>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</si>
  <si>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</si>
  <si>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</si>
  <si>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</si>
  <si>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</si>
  <si>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</si>
  <si>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</si>
  <si>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</si>
  <si>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</si>
  <si>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</si>
  <si>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</si>
  <si>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</si>
  <si>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</si>
  <si>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</si>
  <si>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</si>
  <si>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</si>
  <si>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</si>
  <si>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</si>
  <si>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</si>
  <si>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</si>
  <si>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</si>
  <si>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</si>
  <si>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</si>
  <si>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</si>
  <si>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</si>
  <si>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</si>
  <si>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</si>
  <si>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</si>
  <si>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</si>
  <si>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</si>
  <si>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</si>
  <si>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</si>
  <si>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</si>
  <si>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</si>
  <si>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</si>
  <si>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</si>
  <si>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</si>
  <si>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</si>
  <si>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</si>
  <si>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</si>
  <si>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</si>
  <si>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</si>
  <si>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</si>
  <si>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</si>
  <si>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</si>
  <si>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</si>
  <si>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</si>
  <si>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</si>
  <si>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</si>
  <si>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</si>
  <si>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</si>
  <si>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</si>
  <si>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</si>
  <si>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</si>
  <si>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</si>
  <si>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</si>
  <si>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</si>
  <si>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</si>
  <si>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</si>
  <si>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</si>
  <si>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</si>
  <si>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</si>
  <si>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</si>
  <si>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</si>
  <si>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</si>
  <si>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</si>
  <si>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</si>
  <si>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</si>
  <si>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</si>
  <si>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</si>
  <si>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</si>
  <si>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</si>
  <si>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</si>
  <si>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</si>
  <si>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</si>
  <si>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</si>
  <si>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</si>
  <si>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</si>
  <si>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</si>
  <si>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</si>
  <si>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</si>
  <si>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</si>
  <si>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</si>
  <si>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</si>
  <si>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</si>
  <si>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</si>
  <si>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</si>
  <si>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</si>
  <si>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</si>
  <si>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</si>
  <si>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</si>
  <si>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</si>
  <si>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</si>
  <si>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</si>
  <si>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</si>
  <si>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</si>
  <si>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</si>
  <si>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</si>
  <si>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</si>
  <si>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</si>
  <si>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</si>
  <si>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</si>
  <si>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</si>
  <si>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</si>
  <si>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</si>
  <si>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</si>
  <si>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</si>
  <si>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</si>
  <si>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</si>
  <si>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</si>
  <si>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</si>
  <si>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</si>
  <si>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</si>
  <si>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</si>
  <si>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</si>
  <si>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</si>
  <si>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</si>
  <si>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</si>
  <si>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</si>
  <si>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</si>
  <si>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</si>
  <si>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</si>
  <si>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</si>
  <si>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</si>
  <si>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</si>
  <si>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</si>
  <si>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</si>
  <si>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</si>
  <si>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</si>
  <si>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</si>
  <si>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</si>
  <si>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</si>
  <si>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</si>
  <si>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</si>
  <si>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</si>
  <si>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</si>
  <si>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</si>
  <si>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</si>
  <si>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</si>
  <si>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</si>
  <si>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</si>
  <si>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</si>
  <si>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</si>
  <si>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</si>
  <si>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</si>
  <si>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</si>
  <si>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</si>
  <si>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</si>
  <si>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</si>
  <si>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</si>
  <si>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</si>
  <si>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</si>
  <si>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</si>
  <si>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</si>
  <si>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</si>
  <si>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</si>
  <si>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</si>
  <si>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</si>
  <si>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</si>
  <si>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</si>
  <si>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</si>
  <si>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</si>
  <si>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</si>
  <si>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</si>
  <si>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</si>
  <si>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</si>
  <si>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</si>
  <si>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</si>
  <si>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</si>
  <si>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</si>
  <si>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</si>
  <si>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</si>
  <si>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</si>
  <si>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</si>
  <si>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</si>
  <si>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</si>
  <si>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</si>
  <si>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</si>
  <si>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</si>
  <si>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</si>
  <si>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</si>
  <si>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</si>
  <si>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</si>
  <si>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</si>
  <si>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</si>
  <si>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</si>
  <si>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</si>
  <si>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</si>
  <si>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</si>
  <si>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</si>
  <si>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</si>
  <si>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</si>
  <si>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</si>
  <si>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</si>
  <si>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</si>
  <si>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</si>
  <si>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</si>
  <si>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</si>
  <si>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</si>
  <si>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</si>
  <si>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</si>
  <si>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</si>
  <si>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</si>
  <si>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</si>
  <si>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</si>
  <si>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</si>
  <si>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</si>
  <si>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</si>
  <si>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</si>
  <si>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</si>
  <si>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</si>
  <si>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</si>
  <si>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</si>
  <si>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</si>
  <si>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</si>
  <si>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</si>
  <si>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</si>
  <si>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</si>
  <si>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</si>
  <si>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</si>
  <si>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</si>
  <si>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</si>
  <si>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</si>
  <si>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</si>
  <si>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</si>
  <si>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</si>
  <si>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</si>
  <si>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</si>
  <si>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</si>
  <si>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</si>
  <si>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</si>
  <si>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</si>
  <si>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</si>
  <si>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</si>
  <si>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</si>
  <si>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</si>
  <si>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</si>
  <si>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</si>
  <si>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</si>
  <si>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</si>
  <si>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</si>
  <si>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</si>
  <si>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</si>
  <si>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</si>
  <si>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</si>
  <si>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</si>
  <si>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</si>
  <si>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</si>
  <si>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</si>
  <si>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</si>
  <si>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</si>
  <si>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</si>
  <si>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</si>
  <si>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</si>
  <si>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</si>
  <si>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</si>
  <si>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</si>
  <si>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</si>
  <si>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</si>
  <si>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</si>
  <si>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</si>
  <si>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</si>
  <si>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</si>
  <si>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</si>
  <si>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</si>
  <si>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</si>
  <si>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</si>
  <si>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</si>
  <si>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</si>
  <si>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</si>
  <si>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</si>
  <si>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</si>
  <si>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</si>
  <si>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</si>
  <si>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</si>
  <si>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</si>
  <si>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</si>
  <si>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</si>
  <si>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</si>
  <si>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</si>
  <si>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</si>
  <si>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</si>
  <si>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</si>
  <si>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</si>
  <si>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</si>
  <si>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</si>
  <si>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</si>
  <si>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</si>
  <si>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</si>
  <si>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</si>
  <si>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</si>
  <si>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</si>
  <si>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</si>
  <si>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</si>
  <si>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</si>
  <si>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</si>
  <si>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</si>
  <si>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</si>
  <si>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</si>
  <si>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</si>
  <si>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</si>
  <si>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</si>
  <si>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</si>
  <si>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</si>
  <si>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</si>
  <si>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</si>
  <si>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</si>
  <si>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</si>
  <si>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</si>
  <si>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</si>
  <si>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</si>
  <si>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</si>
  <si>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</si>
  <si>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</si>
  <si>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</si>
  <si>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</si>
  <si>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</si>
  <si>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</si>
  <si>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</si>
  <si>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</si>
  <si>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</si>
  <si>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</si>
  <si>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</si>
  <si>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</si>
  <si>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</si>
  <si>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</si>
  <si>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</si>
  <si>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</si>
  <si>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</si>
  <si>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</si>
  <si>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</si>
  <si>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</si>
  <si>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</si>
  <si>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</si>
  <si>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</si>
  <si>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</si>
  <si>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</si>
  <si>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</si>
  <si>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</si>
  <si>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</si>
  <si>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</si>
  <si>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</si>
  <si>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</si>
  <si>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</si>
  <si>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</si>
  <si>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</si>
  <si>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</si>
  <si>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</si>
  <si>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</si>
  <si>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</si>
  <si>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</si>
  <si>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</si>
  <si>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</si>
  <si>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</si>
  <si>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</si>
  <si>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</si>
  <si>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</si>
  <si>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</si>
  <si>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</si>
  <si>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</si>
  <si>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</si>
  <si>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</si>
  <si>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</si>
  <si>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</si>
  <si>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</si>
  <si>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</si>
  <si>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</si>
  <si>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</si>
  <si>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</si>
  <si>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</si>
  <si>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</si>
  <si>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</si>
  <si>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</si>
  <si>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</si>
  <si>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</si>
  <si>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</si>
  <si>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</si>
  <si>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</si>
  <si>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</si>
  <si>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</si>
  <si>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</si>
  <si>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</si>
  <si>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</si>
  <si>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</si>
  <si>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</si>
  <si>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</si>
  <si>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</si>
  <si>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</si>
  <si>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</si>
  <si>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</si>
  <si>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</si>
  <si>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</si>
  <si>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</si>
  <si>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</si>
  <si>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</si>
  <si>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</si>
  <si>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</si>
  <si>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</si>
  <si>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</si>
  <si>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</si>
  <si>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</si>
  <si>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</si>
  <si>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</si>
  <si>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</si>
  <si>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</si>
  <si>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</si>
  <si>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</si>
  <si>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</si>
  <si>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</si>
  <si>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</si>
  <si>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</si>
  <si>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</si>
  <si>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</si>
  <si>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</si>
  <si>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</si>
  <si>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</si>
  <si>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</si>
  <si>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</si>
  <si>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</si>
  <si>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</si>
  <si>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</si>
  <si>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</si>
  <si>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</si>
  <si>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</si>
  <si>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</si>
  <si>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</si>
  <si>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</si>
  <si>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</si>
  <si>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</si>
  <si>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</si>
  <si>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</si>
  <si>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</si>
  <si>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</si>
  <si>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</si>
  <si>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</si>
  <si>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</si>
  <si>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</si>
  <si>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</si>
  <si>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</si>
  <si>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</si>
  <si>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</si>
  <si>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</si>
  <si>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</si>
  <si>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</si>
  <si>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</si>
  <si>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</si>
  <si>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</si>
  <si>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</si>
  <si>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</si>
  <si>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</si>
  <si>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</si>
  <si>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</si>
  <si>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</si>
  <si>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</si>
  <si>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</si>
  <si>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</si>
  <si>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</si>
  <si>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</si>
  <si>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</si>
  <si>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</si>
  <si>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</si>
  <si>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</si>
  <si>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</si>
  <si>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</si>
  <si>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</si>
  <si>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</si>
  <si>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</si>
  <si>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</si>
  <si>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</si>
  <si>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</si>
  <si>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</si>
  <si>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</si>
  <si>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</si>
  <si>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</si>
  <si>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</si>
  <si>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</si>
  <si>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</si>
  <si>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</si>
  <si>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</si>
  <si>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</si>
  <si>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</si>
  <si>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</si>
  <si>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</si>
  <si>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</si>
  <si>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</si>
  <si>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</si>
  <si>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</si>
  <si>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</si>
  <si>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</si>
  <si>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</si>
  <si>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</si>
  <si>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</si>
  <si>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</si>
  <si>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</si>
  <si>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</si>
  <si>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</si>
  <si>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</si>
  <si>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</si>
  <si>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</si>
  <si>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</si>
  <si>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</si>
  <si>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</si>
  <si>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</si>
  <si>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</si>
  <si>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</si>
  <si>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</si>
  <si>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</si>
  <si>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</si>
  <si>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</si>
  <si>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</si>
  <si>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</si>
  <si>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</si>
  <si>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</si>
  <si>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</si>
  <si>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</si>
  <si>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</si>
  <si>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</si>
  <si>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</si>
  <si>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</si>
  <si>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</si>
  <si>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</si>
  <si>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</si>
  <si>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</si>
  <si>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</si>
  <si>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</si>
  <si>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</si>
  <si>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</si>
  <si>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</si>
  <si>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</si>
  <si>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</si>
  <si>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</si>
  <si>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</si>
  <si>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</si>
  <si>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</si>
  <si>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</si>
  <si>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</si>
  <si>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</si>
  <si>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</si>
  <si>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</si>
  <si>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</si>
  <si>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</si>
  <si>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</si>
  <si>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</si>
  <si>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</si>
  <si>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</si>
  <si>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</si>
  <si>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</si>
  <si>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</si>
  <si>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</si>
  <si>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</si>
  <si>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</si>
  <si>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</si>
  <si>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</si>
  <si>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</si>
  <si>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</si>
  <si>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</si>
  <si>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</si>
  <si>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</si>
  <si>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</si>
  <si>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</si>
  <si>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</si>
  <si>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</si>
  <si>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</si>
  <si>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</si>
  <si>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</si>
  <si>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</si>
  <si>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</si>
  <si>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</si>
  <si>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</si>
  <si>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</si>
  <si>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</si>
  <si>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</si>
  <si>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</si>
  <si>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</si>
  <si>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</si>
  <si>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</si>
  <si>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</si>
  <si>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</si>
  <si>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</si>
  <si>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</si>
  <si>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</si>
  <si>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</si>
  <si>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</si>
  <si>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</si>
  <si>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</si>
  <si>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</si>
  <si>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</si>
  <si>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</si>
  <si>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</si>
  <si>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</si>
  <si>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</si>
  <si>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</si>
  <si>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</si>
  <si>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</si>
  <si>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</si>
  <si>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</si>
  <si>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</si>
  <si>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</si>
  <si>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</si>
  <si>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</si>
  <si>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</si>
  <si>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</si>
  <si>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</si>
  <si>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</si>
  <si>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</si>
  <si>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</si>
  <si>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</si>
  <si>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</si>
  <si>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</si>
  <si>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</si>
  <si>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</si>
  <si>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</si>
  <si>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</si>
  <si>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</si>
  <si>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</si>
  <si>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</si>
  <si>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</si>
  <si>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</si>
  <si>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</si>
  <si>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</si>
  <si>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</si>
  <si>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</si>
  <si>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</si>
  <si>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</si>
  <si>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</si>
  <si>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</si>
  <si>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</si>
  <si>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</si>
  <si>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</si>
  <si>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</si>
  <si>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</si>
  <si>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</si>
  <si>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</si>
  <si>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</si>
  <si>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</si>
  <si>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</si>
  <si>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</si>
  <si>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</si>
  <si>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</si>
  <si>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</si>
  <si>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</si>
  <si>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</si>
  <si>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</si>
  <si>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</si>
  <si>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</si>
  <si>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</si>
  <si>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</si>
  <si>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</si>
  <si>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</si>
  <si>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</si>
  <si>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</si>
  <si>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</si>
  <si>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</si>
  <si>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</si>
  <si>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</si>
  <si>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</si>
  <si>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</si>
  <si>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</si>
  <si>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</si>
  <si>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</si>
  <si>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</si>
  <si>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</si>
  <si>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</si>
  <si>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</si>
  <si>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</si>
  <si>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</si>
  <si>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</si>
  <si>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</si>
  <si>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</si>
  <si>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</si>
  <si>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</si>
  <si>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</si>
  <si>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</si>
  <si>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</si>
  <si>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</si>
  <si>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</si>
  <si>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</si>
  <si>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</si>
  <si>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</si>
  <si>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</si>
  <si>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</si>
  <si>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</si>
  <si>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</si>
  <si>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</si>
  <si>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</si>
  <si>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</si>
  <si>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</si>
  <si>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</si>
  <si>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</si>
  <si>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</si>
  <si>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</si>
  <si>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</si>
  <si>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</si>
  <si>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</si>
  <si>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</si>
  <si>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</si>
  <si>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</si>
  <si>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</si>
  <si>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</si>
  <si>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</si>
  <si>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</si>
  <si>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</si>
  <si>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</si>
  <si>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</si>
  <si>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</si>
  <si>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</si>
  <si>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</si>
  <si>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</si>
  <si>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</si>
  <si>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</si>
  <si>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</si>
  <si>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</si>
  <si>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</si>
  <si>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</si>
  <si>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</si>
  <si>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</si>
  <si>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</si>
  <si>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</si>
  <si>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</si>
  <si>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</si>
  <si>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</si>
  <si>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</si>
  <si>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</si>
  <si>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</si>
  <si>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</si>
  <si>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</si>
  <si>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</si>
  <si>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</si>
  <si>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</si>
  <si>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</si>
  <si>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</si>
  <si>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</si>
  <si>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</si>
  <si>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</si>
  <si>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</si>
  <si>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</si>
  <si>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</si>
  <si>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</si>
  <si>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</si>
  <si>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</si>
  <si>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</si>
  <si>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</si>
  <si>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</si>
  <si>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</si>
  <si>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</si>
  <si>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</si>
  <si>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</si>
  <si>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</si>
  <si>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</si>
  <si>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</si>
  <si>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</si>
  <si>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</si>
  <si>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</si>
  <si>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</si>
  <si>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</si>
  <si>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</si>
  <si>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</si>
  <si>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</si>
  <si>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</si>
  <si>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</si>
  <si>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</si>
  <si>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</si>
  <si>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</si>
  <si>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</si>
  <si>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</si>
  <si>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</si>
  <si>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</si>
  <si>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</si>
  <si>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</si>
  <si>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</si>
  <si>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</si>
  <si>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</si>
  <si>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</si>
  <si>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</si>
  <si>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</si>
  <si>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</si>
  <si>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</si>
  <si>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</si>
  <si>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</si>
  <si>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</si>
  <si>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</si>
  <si>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</si>
  <si>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</si>
  <si>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</si>
  <si>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</si>
  <si>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</si>
  <si>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</si>
  <si>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</si>
  <si>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</si>
  <si>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</si>
  <si>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</si>
  <si>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</si>
  <si>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</si>
  <si>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</si>
  <si>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</si>
  <si>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</si>
  <si>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</si>
  <si>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</si>
  <si>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</si>
  <si>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</si>
  <si>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</si>
  <si>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</si>
  <si>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</si>
  <si>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</si>
  <si>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</si>
  <si>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</si>
  <si>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</si>
  <si>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</si>
  <si>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</si>
  <si>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</si>
  <si>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</si>
  <si>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</si>
  <si>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</si>
  <si>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</si>
  <si>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</si>
  <si>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</si>
  <si>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</si>
  <si>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</si>
  <si>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</si>
  <si>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</si>
  <si>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</si>
  <si>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</si>
  <si>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</si>
  <si>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</si>
  <si>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</si>
  <si>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</si>
  <si>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</si>
  <si>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</si>
  <si>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</si>
  <si>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</si>
  <si>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</si>
  <si>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</si>
  <si>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</si>
  <si>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</si>
  <si>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</si>
  <si>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</si>
  <si>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</si>
  <si>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</si>
  <si>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</si>
  <si>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</si>
  <si>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</si>
  <si>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</si>
  <si>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</si>
  <si>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</si>
  <si>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</si>
  <si>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</si>
  <si>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</si>
  <si>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</si>
  <si>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</si>
  <si>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</si>
  <si>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</si>
  <si>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</si>
  <si>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</si>
  <si>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</si>
  <si>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</si>
  <si>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</si>
  <si>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</si>
  <si>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</si>
  <si>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</si>
  <si>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</si>
  <si>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</si>
  <si>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</si>
  <si>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</si>
  <si>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</si>
  <si>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</si>
  <si>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</si>
  <si>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</si>
  <si>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</si>
  <si>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</si>
  <si>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</si>
  <si>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</si>
  <si>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</si>
  <si>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</si>
  <si>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</si>
  <si>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</si>
  <si>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</si>
  <si>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</si>
  <si>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</si>
  <si>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</si>
  <si>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</si>
  <si>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</si>
  <si>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</si>
  <si>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</si>
  <si>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</si>
  <si>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</si>
  <si>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</si>
  <si>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</si>
  <si>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</si>
  <si>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</si>
  <si>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</si>
  <si>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</si>
  <si>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</si>
  <si>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</si>
  <si>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</si>
  <si>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</si>
  <si>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</si>
  <si>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</si>
  <si>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</si>
  <si>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</si>
  <si>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</si>
  <si>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</si>
  <si>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</si>
  <si>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</si>
  <si>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</si>
  <si>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</si>
  <si>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</si>
  <si>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</si>
  <si>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</si>
  <si>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</si>
  <si>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</si>
  <si>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</si>
  <si>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</si>
  <si>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</si>
  <si>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</si>
  <si>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</si>
  <si>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</si>
  <si>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</si>
  <si>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</si>
  <si>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</si>
  <si>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</si>
  <si>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</si>
  <si>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</si>
  <si>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</si>
  <si>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</si>
  <si>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</si>
  <si>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</si>
  <si>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</si>
  <si>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</si>
  <si>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</si>
  <si>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</si>
  <si>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</si>
  <si>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</si>
  <si>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</si>
  <si>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</si>
  <si>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</si>
  <si>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</si>
  <si>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</si>
  <si>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</si>
  <si>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</si>
  <si>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</si>
  <si>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</si>
  <si>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</si>
  <si>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</si>
  <si>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</si>
  <si>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</si>
  <si>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</si>
  <si>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</si>
  <si>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</si>
  <si>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</si>
  <si>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</si>
  <si>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</si>
  <si>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</si>
  <si>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</si>
  <si>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</si>
  <si>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</si>
  <si>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</si>
  <si>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</si>
  <si>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</si>
  <si>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</si>
  <si>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</si>
  <si>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</si>
  <si>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</si>
  <si>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</si>
  <si>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</si>
  <si>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</si>
  <si>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</si>
  <si>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</si>
  <si>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</si>
  <si>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</si>
  <si>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</si>
  <si>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</si>
  <si>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</si>
  <si>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</si>
  <si>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</si>
  <si>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</si>
  <si>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</si>
  <si>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</si>
  <si>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</si>
  <si>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</si>
  <si>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</si>
  <si>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</si>
  <si>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</si>
  <si>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</si>
  <si>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</si>
  <si>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</si>
  <si>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</si>
  <si>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</si>
  <si>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</si>
  <si>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</si>
  <si>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</si>
  <si>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</si>
  <si>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</si>
  <si>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</si>
  <si>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</si>
  <si>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</si>
  <si>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</si>
  <si>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</si>
  <si>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</si>
  <si>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</si>
  <si>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</si>
  <si>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</si>
  <si>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</si>
  <si>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</si>
  <si>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</si>
  <si>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</si>
  <si>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</si>
  <si>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</si>
  <si>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</si>
  <si>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</si>
  <si>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</si>
  <si>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</si>
  <si>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</si>
  <si>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</si>
  <si>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</si>
  <si>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</si>
  <si>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</si>
  <si>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</si>
  <si>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</si>
  <si>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</si>
  <si>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</si>
  <si>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</si>
  <si>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</si>
  <si>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</si>
  <si>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</si>
  <si>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</si>
  <si>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</si>
  <si>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</si>
  <si>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</si>
  <si>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</si>
  <si>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</si>
  <si>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</si>
  <si>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</si>
  <si>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</si>
  <si>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</si>
  <si>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</si>
  <si>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</si>
  <si>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</si>
  <si>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</si>
  <si>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</si>
  <si>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</si>
  <si>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</si>
  <si>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</si>
  <si>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</si>
  <si>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</si>
  <si>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</si>
  <si>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</si>
  <si>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</si>
  <si>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</si>
  <si>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</si>
  <si>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</si>
  <si>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</si>
  <si>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</si>
  <si>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</si>
  <si>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</si>
  <si>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</si>
  <si>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</si>
  <si>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</si>
  <si>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</si>
  <si>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</si>
  <si>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</si>
  <si>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</si>
  <si>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</si>
  <si>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</si>
  <si>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</si>
  <si>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</si>
  <si>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</si>
  <si>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</si>
  <si>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</si>
  <si>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</si>
  <si>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</si>
  <si>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</si>
  <si>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</si>
  <si>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</si>
  <si>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</si>
  <si>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</si>
  <si>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</si>
  <si>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</si>
  <si>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</si>
  <si>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</si>
  <si>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</si>
  <si>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</si>
  <si>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</si>
  <si>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</si>
  <si>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</si>
  <si>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</si>
  <si>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</si>
  <si>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</si>
  <si>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</si>
  <si>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</si>
  <si>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</si>
  <si>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</si>
  <si>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</si>
  <si>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</si>
  <si>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</si>
  <si>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</si>
  <si>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</si>
  <si>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</si>
  <si>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</si>
  <si>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</si>
  <si>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</si>
  <si>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</si>
  <si>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</si>
  <si>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</si>
  <si>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</si>
  <si>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</si>
  <si>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</si>
  <si>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</si>
  <si>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</si>
  <si>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</si>
  <si>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</si>
  <si>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</si>
  <si>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</si>
  <si>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</si>
  <si>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</si>
  <si>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</si>
  <si>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</si>
  <si>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</si>
  <si>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</si>
  <si>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</si>
  <si>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</si>
  <si>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</si>
  <si>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</si>
  <si>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</si>
  <si>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</si>
  <si>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</si>
  <si>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</si>
  <si>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</si>
  <si>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</si>
  <si>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</si>
  <si>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</si>
  <si>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</si>
  <si>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</si>
  <si>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</si>
  <si>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</si>
  <si>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</si>
  <si>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</si>
  <si>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</si>
  <si>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</si>
  <si>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</si>
  <si>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</si>
  <si>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</si>
  <si>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</si>
  <si>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</si>
  <si>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</si>
  <si>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</si>
  <si>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</si>
  <si>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</si>
  <si>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</si>
  <si>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</si>
  <si>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</si>
  <si>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</si>
  <si>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</si>
  <si>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</si>
  <si>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</si>
  <si>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</si>
  <si>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</si>
  <si>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</si>
  <si>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</si>
  <si>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</si>
  <si>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</si>
  <si>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</si>
  <si>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</si>
  <si>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</si>
  <si>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</si>
  <si>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</si>
  <si>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</si>
  <si>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</si>
  <si>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</si>
  <si>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</si>
  <si>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</si>
  <si>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</si>
  <si>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</si>
  <si>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</si>
  <si>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</si>
  <si>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</si>
  <si>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</si>
  <si>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</si>
  <si>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</si>
  <si>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</si>
  <si>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</si>
  <si>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</si>
  <si>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</si>
  <si>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</si>
  <si>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</si>
  <si>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</si>
  <si>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</si>
  <si>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</si>
  <si>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</si>
  <si>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</si>
  <si>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</si>
  <si>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</si>
  <si>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</si>
  <si>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</si>
  <si>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</si>
  <si>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</si>
  <si>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</si>
  <si>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</si>
  <si>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</si>
  <si>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</si>
  <si>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</si>
  <si>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</si>
  <si>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</si>
  <si>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</si>
  <si>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</si>
  <si>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</si>
  <si>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</si>
  <si>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</si>
  <si>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</si>
  <si>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</si>
  <si>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</si>
  <si>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</si>
  <si>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</si>
  <si>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</si>
  <si>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</si>
  <si>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</si>
  <si>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</si>
  <si>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</si>
  <si>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</si>
  <si>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</si>
  <si>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</si>
  <si>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</si>
  <si>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</si>
  <si>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</si>
  <si>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</si>
  <si>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</si>
  <si>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</si>
  <si>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</si>
  <si>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</si>
  <si>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</si>
  <si>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</si>
  <si>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</si>
  <si>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</si>
  <si>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</si>
  <si>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</si>
  <si>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</si>
  <si>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</si>
  <si>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</si>
  <si>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</si>
  <si>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</si>
  <si>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</si>
  <si>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</si>
  <si>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</si>
  <si>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</si>
  <si>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</si>
  <si>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</si>
  <si>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</si>
  <si>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</si>
  <si>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</si>
  <si>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</si>
  <si>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</si>
  <si>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</si>
  <si>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</si>
  <si>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</si>
  <si>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</si>
  <si>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</si>
  <si>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</si>
  <si>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</si>
  <si>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</si>
  <si>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</si>
  <si>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</si>
  <si>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</si>
  <si>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</si>
  <si>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</si>
  <si>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</si>
  <si>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</si>
  <si>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</si>
  <si>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</si>
  <si>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</si>
  <si>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</si>
  <si>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</si>
  <si>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</si>
  <si>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</si>
  <si>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</si>
  <si>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</si>
  <si>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</si>
  <si>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</si>
  <si>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</si>
  <si>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</si>
  <si>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</si>
  <si>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</si>
  <si>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</si>
  <si>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</si>
  <si>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</si>
  <si>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</si>
  <si>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</si>
  <si>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</si>
  <si>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</si>
  <si>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</si>
  <si>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</si>
  <si>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</si>
  <si>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</si>
  <si>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</si>
  <si>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</si>
  <si>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</si>
  <si>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</si>
  <si>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</si>
  <si>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</si>
  <si>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</si>
  <si>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</si>
  <si>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</si>
  <si>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</si>
  <si>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</si>
  <si>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</si>
  <si>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</si>
  <si>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</si>
  <si>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</si>
  <si>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</si>
  <si>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</si>
  <si>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</si>
  <si>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</si>
  <si>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</si>
  <si>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</si>
  <si>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</si>
  <si>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</si>
  <si>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</si>
  <si>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</si>
  <si>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</si>
  <si>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</si>
  <si>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</si>
  <si>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</si>
  <si>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</si>
  <si>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</si>
  <si>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</si>
  <si>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</si>
  <si>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</si>
  <si>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</si>
  <si>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</si>
  <si>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</si>
  <si>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</si>
  <si>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</si>
  <si>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</si>
  <si>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</si>
  <si>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</si>
  <si>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</si>
  <si>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</si>
  <si>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</si>
  <si>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</si>
  <si>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</si>
  <si>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</si>
  <si>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</si>
  <si>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</si>
  <si>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</si>
  <si>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</si>
  <si>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</si>
  <si>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</si>
  <si>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</si>
  <si>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</si>
  <si>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</si>
  <si>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</si>
  <si>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</si>
  <si>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</si>
  <si>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</si>
  <si>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</si>
  <si>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</si>
  <si>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</si>
  <si>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</si>
  <si>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</si>
  <si>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</si>
  <si>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</si>
  <si>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</si>
  <si>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</si>
  <si>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</si>
  <si>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</si>
  <si>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</si>
  <si>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</si>
  <si>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</si>
  <si>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</si>
  <si>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</si>
  <si>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</si>
  <si>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</si>
  <si>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</si>
  <si>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</si>
  <si>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</si>
  <si>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</si>
  <si>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</si>
  <si>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</si>
  <si>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</si>
  <si>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</si>
  <si>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</si>
  <si>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</si>
  <si>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</si>
  <si>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</si>
  <si>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</si>
  <si>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</si>
  <si>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</si>
  <si>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</si>
  <si>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</si>
  <si>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</si>
  <si>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</si>
  <si>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</si>
  <si>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</si>
  <si>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</si>
  <si>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</si>
  <si>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</si>
  <si>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</si>
  <si>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</si>
  <si>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</si>
  <si>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</si>
  <si>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</si>
  <si>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</si>
  <si>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</si>
  <si>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</si>
  <si>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</si>
  <si>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</si>
  <si>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</si>
  <si>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</si>
  <si>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</si>
  <si>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</si>
  <si>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</si>
  <si>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</si>
  <si>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</si>
  <si>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</si>
  <si>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</si>
  <si>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</si>
  <si>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</si>
  <si>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</si>
  <si>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</si>
  <si>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</si>
  <si>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</si>
  <si>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</si>
  <si>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</si>
  <si>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</si>
  <si>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</si>
  <si>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</si>
  <si>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</si>
  <si>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</si>
  <si>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</si>
  <si>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</si>
  <si>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</si>
  <si>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</si>
  <si>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</si>
  <si>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</si>
  <si>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</si>
  <si>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</si>
  <si>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</si>
  <si>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</si>
  <si>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</si>
  <si>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</si>
  <si>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</si>
  <si>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</si>
  <si>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</si>
  <si>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</si>
  <si>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</si>
  <si>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</si>
  <si>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</si>
  <si>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</si>
  <si>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</si>
  <si>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</si>
  <si>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</si>
  <si>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</si>
  <si>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</si>
  <si>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</si>
  <si>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</si>
  <si>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</si>
  <si>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</si>
  <si>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</si>
  <si>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</si>
  <si>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</si>
  <si>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</si>
  <si>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</si>
  <si>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</si>
  <si>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</si>
  <si>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</si>
  <si>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</si>
  <si>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</si>
  <si>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</si>
  <si>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</si>
  <si>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</si>
  <si>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</si>
  <si>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</si>
  <si>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</si>
  <si>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</si>
  <si>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</si>
  <si>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</si>
  <si>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</si>
  <si>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</si>
  <si>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</si>
  <si>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</si>
  <si>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</si>
  <si>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</si>
  <si>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</si>
  <si>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</si>
  <si>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</si>
  <si>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</si>
  <si>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</si>
  <si>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</si>
  <si>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</si>
  <si>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</si>
  <si>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</si>
  <si>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</si>
  <si>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</si>
  <si>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</si>
  <si>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</si>
  <si>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</si>
  <si>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</si>
  <si>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</si>
  <si>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</si>
  <si>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</si>
  <si>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</si>
  <si>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</si>
  <si>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</si>
  <si>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</si>
  <si>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</si>
  <si>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</si>
  <si>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</si>
  <si>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</si>
  <si>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</si>
  <si>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</si>
  <si>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</si>
  <si>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</si>
  <si>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</si>
  <si>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</si>
  <si>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</si>
  <si>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</si>
  <si>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</si>
  <si>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</si>
  <si>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</si>
  <si>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</si>
  <si>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</si>
  <si>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</si>
  <si>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</si>
  <si>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</si>
  <si>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</si>
  <si>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</si>
  <si>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</si>
  <si>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</si>
  <si>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</si>
  <si>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</si>
  <si>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</si>
  <si>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</si>
  <si>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</si>
  <si>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</si>
  <si>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</si>
  <si>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</si>
  <si>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</si>
  <si>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</si>
  <si>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</si>
  <si>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</si>
  <si>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</si>
  <si>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</si>
  <si>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</si>
  <si>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</si>
  <si>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</si>
  <si>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</si>
  <si>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</si>
  <si>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</si>
  <si>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</si>
  <si>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</si>
  <si>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</si>
  <si>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</si>
  <si>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</si>
  <si>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</si>
  <si>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</si>
  <si>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</si>
  <si>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</si>
  <si>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</si>
  <si>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</si>
  <si>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</si>
  <si>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</si>
  <si>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</si>
  <si>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</si>
  <si>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</si>
  <si>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</si>
  <si>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</si>
  <si>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</si>
  <si>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</si>
  <si>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</si>
  <si>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</si>
  <si>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</si>
  <si>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</si>
  <si>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</si>
  <si>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</si>
  <si>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</si>
  <si>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</si>
  <si>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</si>
  <si>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</si>
  <si>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</si>
  <si>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</si>
  <si>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</si>
  <si>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</si>
  <si>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</si>
  <si>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</si>
  <si>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</si>
  <si>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</si>
  <si>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</si>
  <si>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</si>
  <si>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</si>
  <si>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</si>
  <si>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</si>
  <si>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</si>
  <si>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</si>
  <si>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</si>
  <si>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</si>
  <si>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</si>
  <si>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</si>
  <si>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</si>
  <si>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</si>
  <si>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</si>
  <si>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</si>
  <si>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</si>
  <si>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</si>
  <si>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</si>
  <si>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</si>
  <si>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</si>
  <si>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</si>
  <si>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</si>
  <si>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</si>
  <si>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</si>
  <si>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</si>
  <si>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</si>
  <si>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</si>
  <si>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</si>
  <si>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</si>
  <si>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</si>
  <si>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</si>
  <si>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</si>
  <si>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</si>
  <si>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</si>
  <si>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</si>
  <si>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</si>
  <si>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</si>
  <si>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</si>
  <si>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</si>
  <si>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</si>
  <si>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</si>
  <si>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</si>
  <si>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</si>
  <si>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</si>
  <si>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</si>
  <si>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</si>
  <si>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</si>
  <si>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</si>
  <si>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</si>
  <si>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</si>
  <si>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</si>
  <si>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</si>
  <si>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</si>
  <si>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</si>
  <si>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</si>
  <si>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</si>
  <si>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</si>
  <si>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</si>
  <si>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</si>
  <si>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</si>
  <si>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</si>
  <si>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</si>
  <si>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</si>
  <si>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</si>
  <si>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</si>
  <si>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</si>
  <si>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</si>
  <si>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</si>
  <si>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</si>
  <si>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</si>
  <si>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</si>
  <si>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</si>
  <si>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</si>
  <si>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</si>
  <si>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</si>
  <si>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</si>
  <si>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</si>
  <si>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</si>
  <si>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</si>
  <si>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</si>
  <si>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</si>
  <si>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</si>
  <si>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</si>
  <si>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</si>
  <si>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</si>
  <si>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</si>
  <si>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</si>
  <si>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</si>
  <si>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</si>
  <si>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</si>
  <si>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</si>
  <si>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</si>
  <si>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</si>
  <si>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</si>
  <si>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</si>
  <si>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</si>
  <si>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</si>
  <si>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</si>
  <si>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</si>
  <si>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</si>
  <si>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</si>
  <si>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</si>
  <si>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</si>
  <si>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</si>
  <si>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</si>
  <si>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</si>
  <si>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</si>
  <si>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</si>
  <si>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</si>
  <si>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</si>
  <si>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</si>
  <si>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</si>
  <si>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</si>
  <si>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</si>
  <si>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</si>
  <si>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</si>
  <si>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</si>
  <si>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</si>
  <si>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</si>
  <si>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</si>
  <si>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</si>
  <si>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</si>
  <si>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</si>
  <si>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</si>
  <si>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</si>
  <si>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</si>
  <si>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</si>
  <si>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</si>
  <si>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</si>
  <si>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</si>
  <si>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</si>
  <si>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</si>
  <si>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</si>
  <si>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</si>
  <si>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</si>
  <si>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</si>
  <si>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</si>
  <si>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</si>
  <si>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</si>
  <si>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</si>
  <si>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</si>
  <si>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</si>
  <si>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</si>
  <si>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</si>
  <si>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</si>
  <si>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</si>
  <si>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</si>
  <si>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</si>
  <si>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</si>
  <si>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</si>
  <si>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</si>
  <si>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</si>
  <si>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</si>
  <si>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</si>
  <si>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</si>
  <si>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</si>
  <si>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</si>
  <si>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</si>
  <si>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</si>
  <si>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</si>
  <si>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</si>
  <si>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</si>
  <si>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</si>
  <si>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</si>
  <si>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</si>
  <si>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</si>
  <si>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</si>
  <si>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</si>
  <si>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</si>
  <si>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</si>
  <si>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</si>
  <si>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</si>
  <si>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</si>
  <si>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</si>
  <si>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</si>
  <si>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</si>
  <si>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</si>
  <si>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</si>
  <si>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</si>
  <si>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</si>
  <si>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</si>
  <si>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</si>
  <si>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</si>
  <si>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</si>
  <si>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</si>
  <si>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</si>
  <si>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</si>
  <si>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</si>
  <si>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</si>
  <si>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</si>
  <si>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</si>
  <si>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</si>
  <si>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</si>
  <si>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</si>
  <si>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</si>
  <si>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</si>
  <si>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</si>
  <si>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</si>
  <si>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</si>
  <si>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</si>
  <si>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</si>
  <si>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</si>
  <si>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</si>
  <si>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</si>
  <si>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</si>
  <si>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</si>
  <si>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</si>
  <si>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</si>
  <si>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</si>
  <si>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</si>
  <si>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</si>
  <si>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</si>
  <si>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</si>
  <si>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</si>
  <si>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</si>
  <si>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</si>
  <si>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</si>
  <si>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</si>
  <si>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</si>
  <si>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</si>
  <si>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</si>
  <si>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</si>
  <si>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</si>
  <si>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</si>
  <si>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</si>
  <si>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</si>
  <si>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</si>
  <si>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</si>
  <si>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</si>
  <si>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</si>
  <si>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</si>
  <si>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</si>
  <si>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</si>
  <si>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</si>
  <si>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</si>
  <si>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</si>
  <si>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</si>
  <si>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</si>
  <si>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</si>
  <si>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</si>
  <si>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</si>
  <si>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</si>
  <si>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</si>
  <si>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</si>
  <si>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</si>
  <si>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</si>
  <si>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</si>
  <si>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</si>
  <si>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</si>
  <si>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</si>
  <si>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</si>
  <si>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</si>
  <si>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</si>
  <si>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</si>
  <si>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</si>
  <si>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</si>
  <si>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</si>
  <si>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</si>
  <si>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</si>
  <si>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</si>
  <si>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</si>
  <si>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</si>
  <si>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</si>
  <si>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</si>
  <si>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</si>
  <si>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</si>
  <si>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</si>
  <si>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</si>
  <si>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</si>
  <si>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</si>
  <si>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</si>
  <si>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</si>
  <si>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</si>
  <si>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</si>
  <si>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</si>
  <si>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</si>
  <si>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</si>
  <si>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</si>
  <si>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</si>
  <si>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</si>
  <si>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</si>
  <si>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</si>
  <si>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</si>
  <si>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</si>
  <si>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</si>
  <si>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</si>
  <si>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</si>
  <si>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</si>
  <si>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</si>
  <si>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</si>
  <si>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</si>
  <si>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</si>
  <si>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</si>
  <si>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</si>
  <si>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</si>
  <si>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</si>
  <si>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</si>
  <si>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</si>
  <si>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</si>
  <si>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</si>
  <si>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</si>
  <si>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</si>
  <si>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</si>
  <si>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</si>
  <si>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</si>
  <si>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</si>
  <si>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</si>
  <si>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</si>
  <si>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</si>
  <si>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</si>
  <si>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</si>
  <si>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</si>
  <si>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</si>
  <si>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</si>
  <si>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</si>
  <si>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</si>
  <si>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</si>
  <si>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</si>
  <si>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</si>
  <si>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</si>
  <si>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</si>
  <si>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</si>
  <si>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</si>
  <si>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</si>
  <si>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</si>
  <si>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</si>
  <si>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</si>
  <si>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</si>
  <si>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</si>
  <si>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</si>
  <si>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</si>
  <si>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</si>
  <si>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</si>
  <si>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</si>
  <si>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</si>
  <si>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</si>
  <si>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</si>
  <si>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</si>
  <si>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</si>
  <si>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</si>
  <si>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</si>
  <si>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</si>
  <si>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</si>
  <si>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</si>
  <si>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</si>
  <si>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</si>
  <si>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</si>
  <si>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</si>
  <si>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</si>
  <si>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</si>
  <si>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</si>
  <si>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</si>
  <si>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</si>
  <si>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</si>
  <si>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</si>
  <si>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</si>
  <si>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</si>
  <si>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</si>
  <si>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</si>
  <si>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</si>
  <si>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</si>
  <si>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</si>
  <si>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</si>
  <si>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</si>
  <si>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</si>
  <si>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</si>
  <si>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</si>
  <si>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</si>
  <si>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</si>
  <si>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</si>
  <si>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</si>
  <si>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</si>
  <si>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</si>
  <si>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</si>
  <si>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</si>
  <si>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</si>
  <si>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</si>
  <si>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</si>
  <si>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</si>
  <si>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</si>
  <si>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</si>
  <si>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</si>
  <si>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</si>
  <si>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</si>
  <si>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</si>
  <si>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</si>
  <si>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</si>
  <si>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</si>
  <si>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</si>
  <si>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</si>
  <si>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</si>
  <si>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</si>
  <si>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</si>
  <si>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</si>
  <si>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</si>
  <si>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</si>
  <si>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</si>
  <si>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</si>
  <si>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</si>
  <si>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</si>
  <si>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</si>
  <si>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</si>
  <si>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</si>
  <si>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</si>
  <si>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</si>
  <si>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</si>
  <si>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</si>
  <si>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</si>
  <si>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</si>
  <si>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</si>
  <si>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</si>
  <si>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</si>
  <si>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</si>
  <si>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</si>
  <si>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</si>
  <si>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</si>
  <si>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</si>
  <si>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</si>
  <si>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</si>
  <si>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</si>
  <si>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</si>
  <si>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</si>
  <si>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</si>
  <si>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</si>
  <si>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</si>
  <si>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</si>
  <si>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</si>
  <si>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</si>
  <si>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</si>
  <si>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</si>
  <si>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</si>
  <si>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</si>
  <si>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</si>
  <si>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</si>
  <si>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</si>
  <si>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</si>
  <si>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</si>
  <si>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</si>
  <si>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</si>
  <si>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</si>
  <si>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</si>
  <si>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</si>
  <si>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</si>
  <si>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</si>
  <si>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</si>
  <si>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</si>
  <si>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</si>
  <si>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</si>
  <si>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</si>
  <si>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</si>
  <si>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</si>
  <si>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</si>
  <si>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</si>
  <si>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</si>
  <si>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</si>
  <si>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</si>
  <si>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</si>
  <si>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</si>
  <si>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</si>
  <si>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</si>
  <si>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</si>
  <si>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</si>
  <si>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</si>
  <si>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</si>
  <si>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</si>
  <si>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</si>
  <si>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</si>
  <si>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</si>
  <si>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</si>
  <si>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</si>
  <si>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</si>
  <si>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</si>
  <si>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</si>
  <si>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</si>
  <si>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</si>
  <si>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</si>
  <si>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</si>
  <si>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</si>
  <si>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</si>
  <si>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</si>
  <si>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</si>
  <si>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</si>
  <si>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</si>
  <si>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</si>
  <si>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</si>
  <si>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</si>
  <si>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</si>
  <si>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</si>
  <si>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</si>
  <si>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</si>
  <si>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</si>
  <si>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</si>
  <si>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</si>
  <si>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</si>
  <si>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</si>
  <si>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</si>
  <si>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</si>
  <si>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</si>
  <si>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</si>
  <si>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</si>
  <si>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</si>
  <si>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</si>
  <si>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</si>
  <si>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</si>
  <si>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</si>
  <si>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</si>
  <si>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</si>
  <si>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</si>
  <si>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</si>
  <si>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</si>
  <si>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</si>
  <si>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</si>
  <si>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</si>
  <si>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</si>
  <si>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</si>
  <si>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</si>
  <si>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</si>
  <si>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</si>
  <si>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</si>
  <si>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</si>
  <si>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</si>
  <si>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</si>
  <si>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</si>
  <si>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</si>
  <si>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</si>
  <si>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</si>
  <si>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</si>
  <si>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</si>
  <si>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</si>
  <si>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</si>
  <si>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</si>
  <si>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</si>
  <si>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</si>
  <si>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</si>
  <si>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</si>
  <si>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</si>
  <si>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</si>
  <si>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</si>
  <si>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</si>
  <si>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</si>
  <si>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</si>
  <si>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</si>
  <si>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</si>
  <si>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</si>
  <si>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</si>
  <si>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</si>
  <si>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</si>
  <si>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</si>
  <si>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</si>
  <si>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</si>
  <si>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</si>
  <si>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</si>
  <si>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</si>
  <si>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</si>
  <si>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</si>
  <si>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</si>
  <si>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</si>
  <si>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</si>
  <si>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</si>
  <si>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</si>
  <si>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</si>
  <si>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</si>
  <si>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</si>
  <si>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</si>
  <si>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</si>
  <si>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</si>
  <si>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</si>
  <si>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</si>
  <si>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</si>
  <si>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</si>
  <si>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</si>
  <si>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</si>
  <si>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</si>
  <si>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</si>
  <si>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</si>
  <si>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</si>
  <si>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</si>
  <si>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</si>
  <si>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</si>
  <si>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</si>
  <si>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</si>
  <si>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</si>
  <si>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</si>
  <si>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</si>
  <si>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</si>
  <si>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</si>
  <si>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</si>
  <si>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</si>
  <si>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</si>
  <si>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</si>
  <si>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</si>
  <si>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</si>
  <si>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</si>
  <si>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</si>
  <si>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</si>
  <si>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</si>
  <si>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</si>
  <si>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</si>
  <si>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</si>
  <si>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</si>
  <si>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</si>
  <si>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</si>
  <si>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</si>
  <si>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</si>
  <si>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</si>
  <si>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</si>
  <si>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</si>
  <si>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</si>
  <si>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</si>
  <si>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</si>
  <si>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</si>
  <si>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</si>
  <si>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</si>
  <si>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</si>
  <si>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</si>
  <si>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</si>
  <si>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</si>
  <si>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</si>
  <si>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</si>
  <si>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</si>
  <si>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</si>
  <si>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</si>
  <si>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</si>
  <si>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</si>
  <si>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</si>
  <si>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</si>
  <si>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</si>
  <si>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</si>
  <si>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</si>
  <si>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</si>
  <si>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</si>
  <si>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</si>
  <si>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</si>
  <si>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</si>
  <si>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</si>
  <si>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</si>
  <si>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</si>
  <si>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</si>
  <si>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</si>
  <si>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</si>
  <si>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</si>
  <si>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</si>
  <si>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</si>
  <si>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</si>
  <si>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</si>
  <si>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</si>
  <si>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</si>
  <si>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</si>
  <si>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</si>
  <si>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</si>
  <si>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</si>
  <si>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</si>
  <si>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</si>
  <si>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</si>
  <si>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</si>
  <si>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</si>
  <si>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</si>
  <si>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</si>
  <si>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</si>
  <si>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</si>
  <si>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</si>
  <si>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</si>
  <si>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</si>
  <si>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</si>
  <si>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</si>
  <si>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</si>
  <si>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</si>
  <si>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</si>
  <si>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</si>
  <si>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</si>
  <si>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</si>
  <si>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</si>
  <si>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</si>
  <si>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</si>
  <si>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</si>
  <si>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</si>
  <si>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</si>
  <si>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</si>
  <si>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</si>
  <si>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</si>
  <si>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</si>
  <si>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</si>
  <si>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</si>
  <si>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</si>
  <si>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</si>
  <si>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</si>
  <si>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</si>
  <si>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</si>
  <si>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</si>
  <si>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</si>
  <si>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</si>
  <si>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</si>
  <si>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</si>
  <si>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</si>
  <si>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</si>
  <si>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</si>
  <si>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</si>
  <si>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</si>
  <si>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</si>
  <si>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</si>
  <si>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</si>
  <si>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</si>
  <si>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</si>
  <si>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</si>
  <si>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</si>
  <si>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</si>
  <si>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</si>
  <si>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</si>
  <si>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</si>
  <si>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</si>
  <si>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</si>
  <si>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</si>
  <si>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</si>
  <si>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</si>
  <si>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</si>
  <si>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</si>
  <si>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</si>
  <si>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</si>
  <si>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</si>
  <si>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</si>
  <si>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</si>
  <si>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</si>
  <si>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</si>
  <si>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</si>
  <si>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</si>
  <si>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</si>
  <si>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</si>
  <si>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</si>
  <si>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</si>
  <si>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</si>
  <si>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</si>
  <si>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</si>
  <si>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</si>
  <si>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</si>
  <si>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</si>
  <si>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</si>
  <si>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</si>
  <si>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</si>
  <si>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</si>
  <si>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</si>
  <si>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</si>
  <si>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</si>
  <si>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</si>
  <si>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</si>
  <si>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</si>
  <si>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</si>
  <si>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</si>
  <si>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</si>
  <si>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</si>
  <si>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</si>
  <si>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</si>
  <si>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</si>
  <si>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</si>
  <si>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</si>
  <si>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</si>
  <si>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</si>
  <si>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</si>
  <si>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</si>
  <si>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</si>
  <si>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</si>
  <si>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</si>
  <si>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</si>
  <si>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</si>
  <si>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</si>
  <si>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</si>
  <si>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</si>
  <si>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</si>
  <si>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</si>
  <si>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</si>
  <si>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</si>
  <si>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</si>
  <si>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</si>
  <si>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</si>
  <si>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</si>
  <si>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</si>
  <si>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</si>
  <si>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</si>
  <si>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</si>
  <si>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</si>
  <si>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</si>
  <si>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</si>
  <si>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</si>
  <si>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</si>
  <si>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</si>
  <si>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</si>
  <si>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</si>
  <si>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</si>
  <si>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</si>
  <si>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</si>
  <si>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</si>
  <si>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</si>
  <si>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</si>
  <si>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</si>
  <si>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</si>
  <si>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</si>
  <si>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</si>
  <si>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</si>
  <si>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</si>
  <si>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</si>
  <si>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</si>
  <si>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</si>
  <si>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</si>
  <si>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</si>
  <si>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</si>
  <si>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</si>
  <si>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</si>
  <si>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</si>
  <si>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</si>
  <si>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</si>
  <si>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</si>
  <si>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</si>
  <si>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</si>
  <si>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</si>
  <si>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</si>
  <si>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</si>
  <si>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</si>
  <si>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</si>
  <si>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</si>
  <si>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</si>
  <si>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</si>
  <si>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</si>
  <si>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</si>
  <si>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</si>
  <si>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</si>
  <si>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</si>
  <si>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</si>
  <si>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</si>
  <si>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</si>
  <si>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</si>
  <si>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</si>
  <si>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</si>
  <si>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</si>
  <si>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</si>
  <si>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</si>
  <si>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</si>
  <si>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</si>
  <si>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</si>
  <si>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</si>
  <si>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</si>
  <si>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</si>
  <si>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</si>
  <si>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</si>
  <si>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</si>
  <si>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</si>
  <si>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</si>
  <si>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</si>
  <si>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</si>
  <si>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</si>
  <si>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</si>
  <si>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</si>
  <si>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</si>
  <si>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</si>
  <si>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</si>
  <si>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</si>
  <si>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</si>
  <si>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</si>
  <si>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</si>
  <si>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</si>
  <si>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</si>
  <si>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</si>
  <si>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</si>
  <si>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</si>
  <si>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</si>
  <si>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</si>
  <si>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</si>
  <si>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</si>
  <si>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</si>
  <si>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</si>
  <si>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</si>
  <si>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</si>
  <si>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</si>
  <si>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</si>
  <si>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</si>
  <si>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</si>
  <si>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</si>
  <si>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</si>
  <si>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</si>
  <si>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</si>
  <si>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</si>
  <si>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</si>
  <si>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</si>
  <si>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</si>
  <si>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</si>
  <si>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</si>
  <si>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</si>
  <si>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</si>
  <si>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</si>
  <si>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</si>
  <si>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</si>
  <si>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</si>
  <si>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</si>
  <si>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</si>
  <si>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</si>
  <si>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</si>
  <si>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</si>
  <si>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</si>
  <si>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</si>
  <si>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</si>
  <si>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</si>
  <si>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</si>
  <si>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</si>
  <si>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</si>
  <si>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</si>
  <si>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</si>
  <si>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</si>
  <si>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</si>
  <si>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</si>
  <si>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</si>
  <si>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</si>
  <si>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</si>
  <si>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</si>
  <si>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</si>
  <si>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</si>
  <si>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</si>
  <si>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</si>
  <si>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</si>
  <si>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</si>
  <si>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</si>
  <si>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</si>
  <si>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</si>
  <si>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</si>
  <si>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</si>
  <si>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</si>
  <si>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</si>
  <si>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</si>
  <si>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</si>
  <si>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</si>
  <si>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</si>
  <si>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</si>
  <si>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</si>
  <si>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</si>
  <si>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</si>
  <si>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</si>
  <si>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</si>
  <si>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</si>
  <si>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</si>
  <si>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</si>
  <si>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</si>
  <si>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</si>
  <si>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</si>
  <si>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</si>
  <si>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</si>
  <si>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</si>
  <si>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</si>
  <si>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</si>
  <si>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</si>
  <si>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</si>
  <si>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</si>
  <si>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</si>
  <si>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</si>
  <si>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</si>
  <si>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</si>
  <si>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</si>
  <si>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</si>
  <si>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</si>
  <si>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</si>
  <si>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</si>
  <si>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</si>
  <si>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</si>
  <si>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</si>
  <si>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</si>
  <si>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</si>
  <si>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</si>
  <si>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</si>
  <si>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</si>
  <si>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</si>
  <si>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</si>
  <si>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</si>
  <si>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</si>
  <si>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</si>
  <si>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</si>
  <si>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</si>
  <si>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</si>
  <si>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</si>
  <si>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</si>
  <si>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</si>
  <si>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</si>
  <si>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</si>
  <si>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</si>
  <si>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</si>
  <si>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</si>
  <si>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</si>
  <si>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</si>
  <si>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</si>
  <si>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</si>
  <si>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</si>
  <si>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</si>
  <si>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</si>
  <si>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</si>
  <si>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</si>
  <si>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</si>
  <si>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</si>
  <si>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</si>
  <si>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</si>
  <si>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</si>
  <si>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</si>
  <si>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</si>
  <si>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</si>
  <si>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</si>
  <si>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</si>
  <si>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</si>
  <si>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</si>
  <si>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</si>
  <si>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</si>
  <si>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</si>
  <si>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</si>
  <si>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</si>
  <si>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</si>
  <si>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</si>
  <si>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</si>
  <si>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</si>
  <si>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</si>
  <si>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</si>
  <si>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</si>
  <si>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</si>
  <si>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</si>
  <si>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</si>
  <si>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</si>
  <si>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</si>
  <si>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</si>
  <si>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</si>
  <si>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</si>
  <si>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</si>
  <si>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</si>
  <si>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</si>
  <si>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</si>
  <si>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</si>
  <si>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</si>
  <si>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</si>
  <si>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</si>
  <si>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</si>
  <si>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</si>
  <si>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</si>
  <si>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</si>
  <si>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</si>
  <si>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</si>
  <si>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</si>
  <si>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</si>
  <si>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</si>
  <si>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</si>
  <si>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</si>
  <si>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</si>
  <si>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</si>
  <si>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</si>
  <si>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</si>
  <si>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</si>
  <si>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</si>
  <si>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</si>
  <si>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</si>
  <si>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</si>
  <si>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</si>
  <si>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</si>
  <si>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</si>
  <si>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</si>
  <si>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</si>
  <si>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</si>
  <si>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</si>
  <si>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</si>
  <si>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</si>
  <si>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</si>
  <si>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</si>
  <si>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</si>
  <si>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</si>
  <si>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</si>
  <si>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</si>
  <si>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</si>
  <si>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</si>
  <si>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</si>
  <si>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</si>
  <si>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</si>
  <si>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</si>
  <si>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</si>
  <si>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</si>
  <si>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</si>
  <si>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</si>
  <si>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</si>
  <si>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</si>
  <si>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</si>
  <si>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</si>
  <si>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</si>
  <si>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</si>
  <si>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</si>
  <si>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</si>
  <si>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</si>
  <si>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</si>
  <si>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</si>
  <si>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</si>
  <si>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</si>
  <si>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</si>
  <si>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</si>
  <si>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</si>
  <si>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</si>
  <si>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</si>
  <si>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</si>
  <si>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</si>
  <si>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</si>
  <si>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</si>
  <si>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</si>
  <si>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</si>
  <si>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</si>
  <si>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</si>
  <si>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</si>
  <si>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</si>
  <si>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</si>
  <si>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</si>
  <si>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</si>
  <si>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</si>
  <si>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</si>
  <si>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</si>
  <si>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</si>
  <si>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</si>
  <si>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</si>
  <si>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</si>
  <si>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</si>
  <si>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</si>
  <si>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</si>
  <si>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</si>
  <si>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</si>
  <si>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</si>
  <si>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</si>
  <si>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</si>
  <si>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</si>
  <si>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</si>
  <si>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</si>
  <si>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</si>
  <si>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</si>
  <si>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</si>
  <si>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</si>
  <si>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</si>
  <si>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</si>
  <si>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</si>
  <si>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</si>
  <si>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</si>
  <si>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</si>
  <si>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</si>
  <si>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</si>
  <si>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</si>
  <si>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</si>
  <si>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</si>
  <si>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</si>
  <si>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</si>
  <si>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</si>
  <si>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</si>
  <si>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</si>
  <si>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</si>
  <si>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</si>
  <si>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</si>
  <si>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</si>
  <si>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</si>
  <si>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</si>
  <si>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</si>
  <si>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</si>
  <si>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</si>
  <si>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</si>
  <si>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</si>
  <si>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</si>
  <si>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</si>
  <si>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</si>
  <si>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</si>
  <si>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</si>
  <si>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</si>
  <si>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</si>
  <si>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</si>
  <si>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</si>
  <si>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</si>
  <si>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</si>
  <si>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</si>
  <si>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</si>
  <si>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</si>
  <si>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</si>
  <si>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</si>
  <si>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</si>
  <si>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</si>
  <si>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</si>
  <si>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</si>
  <si>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</si>
  <si>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</si>
  <si>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</si>
  <si>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</si>
  <si>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</si>
  <si>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</si>
  <si>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</si>
  <si>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</si>
  <si>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</si>
  <si>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</si>
  <si>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</si>
  <si>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</si>
  <si>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</si>
  <si>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</si>
  <si>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</si>
  <si>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</si>
  <si>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</si>
  <si>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</si>
  <si>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</si>
  <si>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</si>
  <si>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</si>
  <si>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</si>
  <si>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</si>
  <si>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</si>
  <si>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</si>
  <si>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</si>
  <si>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</si>
  <si>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</si>
  <si>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</si>
  <si>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</si>
  <si>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</si>
  <si>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</si>
  <si>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</si>
  <si>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</si>
  <si>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</si>
  <si>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</si>
  <si>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</si>
  <si>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</si>
  <si>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</si>
  <si>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</si>
  <si>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</si>
  <si>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</si>
  <si>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</si>
  <si>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</si>
  <si>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</si>
  <si>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</si>
  <si>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</si>
  <si>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</si>
  <si>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</si>
  <si>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</si>
  <si>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</si>
  <si>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</si>
  <si>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</si>
  <si>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</si>
  <si>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</si>
  <si>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</si>
  <si>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</si>
  <si>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</si>
  <si>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</si>
  <si>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</si>
  <si>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</si>
  <si>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</si>
  <si>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</si>
  <si>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</si>
  <si>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</si>
  <si>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</si>
  <si>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</si>
  <si>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</si>
  <si>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</si>
  <si>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</si>
  <si>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</si>
  <si>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</si>
  <si>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</si>
  <si>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</si>
  <si>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</si>
  <si>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</si>
  <si>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</si>
  <si>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</si>
  <si>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</si>
  <si>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</si>
  <si>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</si>
  <si>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</si>
  <si>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</si>
  <si>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</si>
  <si>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</si>
  <si>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</si>
  <si>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</si>
  <si>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</si>
  <si>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</si>
  <si>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</si>
  <si>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</si>
  <si>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</si>
  <si>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</si>
  <si>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</si>
  <si>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</si>
  <si>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</si>
  <si>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</si>
  <si>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</si>
  <si>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</si>
  <si>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</si>
  <si>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</si>
  <si>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</si>
  <si>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</si>
  <si>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</si>
  <si>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</si>
  <si>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</si>
  <si>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</si>
  <si>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</si>
  <si>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</si>
  <si>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</si>
  <si>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</si>
  <si>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</si>
  <si>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</si>
  <si>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</si>
  <si>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</si>
  <si>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</si>
  <si>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</si>
  <si>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</si>
  <si>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</si>
  <si>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</si>
  <si>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</si>
  <si>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</si>
  <si>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</si>
  <si>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</si>
  <si>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</si>
  <si>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</si>
  <si>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</si>
  <si>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</si>
  <si>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</si>
  <si>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</si>
  <si>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</si>
  <si>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</si>
  <si>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</si>
  <si>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</si>
  <si>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</si>
  <si>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</si>
  <si>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</si>
  <si>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</si>
  <si>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</si>
  <si>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</si>
  <si>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</si>
  <si>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</si>
  <si>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</si>
  <si>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</si>
  <si>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</si>
  <si>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</si>
  <si>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</si>
  <si>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</si>
  <si>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</si>
  <si>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</si>
  <si>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</si>
  <si>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</si>
  <si>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</si>
  <si>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</si>
  <si>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</si>
  <si>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</si>
  <si>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</si>
  <si>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</si>
  <si>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</si>
  <si>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</si>
  <si>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</si>
  <si>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</si>
  <si>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</si>
  <si>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</si>
  <si>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</si>
  <si>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</si>
  <si>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</si>
  <si>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</si>
  <si>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</si>
  <si>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</si>
  <si>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</si>
  <si>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</si>
  <si>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</si>
  <si>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</si>
  <si>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</si>
  <si>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</si>
  <si>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</si>
  <si>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</si>
  <si>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</si>
  <si>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</si>
  <si>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</si>
  <si>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</si>
  <si>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</si>
  <si>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</si>
  <si>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</si>
  <si>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</si>
  <si>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</si>
  <si>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</si>
  <si>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</si>
  <si>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</si>
  <si>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</si>
  <si>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</si>
  <si>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</si>
  <si>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</si>
  <si>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</si>
  <si>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</si>
  <si>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</si>
  <si>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</si>
  <si>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</si>
  <si>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</si>
  <si>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</si>
  <si>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</si>
  <si>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</si>
  <si>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</si>
  <si>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</si>
  <si>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</si>
  <si>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</si>
  <si>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</si>
  <si>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</si>
  <si>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</si>
  <si>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</si>
  <si>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</si>
  <si>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</si>
  <si>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</si>
  <si>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</si>
  <si>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</si>
  <si>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</si>
  <si>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</si>
  <si>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</si>
  <si>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</si>
  <si>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</si>
  <si>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</si>
  <si>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</si>
  <si>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</si>
  <si>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</si>
  <si>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</si>
  <si>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</si>
  <si>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</si>
  <si>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</si>
  <si>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</si>
  <si>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</si>
  <si>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</si>
  <si>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</si>
  <si>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</si>
  <si>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</si>
  <si>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</si>
  <si>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</si>
  <si>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</si>
  <si>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</si>
  <si>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</si>
  <si>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</si>
  <si>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</si>
  <si>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</si>
  <si>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</si>
  <si>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</si>
  <si>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</si>
  <si>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</si>
  <si>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</si>
  <si>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</si>
  <si>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</si>
  <si>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</si>
  <si>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</si>
  <si>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</si>
  <si>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</si>
  <si>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</si>
  <si>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</si>
  <si>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</si>
  <si>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</si>
  <si>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</si>
  <si>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</si>
  <si>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</si>
  <si>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</si>
  <si>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</si>
  <si>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</si>
  <si>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</si>
  <si>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</si>
  <si>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</si>
  <si>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</si>
  <si>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</si>
  <si>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</si>
  <si>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</si>
  <si>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</si>
  <si>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</si>
  <si>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</si>
  <si>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</si>
  <si>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</si>
  <si>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</si>
  <si>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</si>
  <si>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</si>
  <si>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</si>
  <si>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</si>
  <si>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</si>
  <si>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</si>
  <si>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</si>
  <si>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</si>
  <si>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</si>
  <si>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</si>
  <si>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</si>
  <si>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</si>
  <si>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</si>
  <si>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</si>
  <si>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</si>
  <si>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</si>
  <si>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</si>
  <si>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</si>
  <si>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</si>
  <si>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</si>
  <si>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</si>
  <si>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</si>
  <si>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</si>
  <si>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</si>
  <si>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</si>
  <si>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</si>
  <si>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</si>
  <si>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</si>
  <si>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</si>
  <si>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</si>
  <si>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</si>
  <si>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</si>
  <si>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</si>
  <si>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</si>
  <si>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</si>
  <si>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</si>
  <si>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</si>
  <si>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</si>
  <si>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</si>
  <si>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</si>
  <si>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</si>
  <si>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</si>
  <si>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</si>
  <si>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</si>
  <si>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</si>
  <si>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</si>
  <si>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</si>
  <si>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</si>
  <si>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</si>
  <si>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</si>
  <si>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</si>
  <si>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</si>
  <si>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</si>
  <si>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</si>
  <si>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</si>
  <si>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</si>
  <si>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</si>
  <si>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</si>
  <si>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</si>
  <si>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</si>
  <si>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</si>
  <si>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</si>
  <si>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</si>
  <si>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</si>
  <si>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</si>
  <si>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</si>
  <si>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</si>
  <si>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</si>
  <si>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</si>
  <si>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</si>
  <si>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</si>
  <si>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</si>
  <si>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</si>
  <si>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</si>
  <si>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</si>
  <si>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</si>
  <si>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</si>
  <si>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</si>
  <si>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</si>
  <si>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</si>
  <si>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</si>
  <si>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</si>
  <si>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</si>
  <si>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</si>
  <si>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</si>
  <si>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</si>
  <si>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</si>
  <si>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</si>
  <si>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</si>
  <si>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</si>
  <si>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</si>
  <si>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</si>
  <si>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</si>
  <si>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</si>
  <si>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</si>
  <si>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</si>
  <si>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</si>
  <si>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</si>
  <si>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</si>
  <si>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</si>
  <si>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</si>
  <si>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</si>
  <si>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</si>
  <si>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</si>
  <si>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</si>
  <si>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</si>
  <si>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</si>
  <si>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</si>
  <si>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</si>
  <si>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</si>
  <si>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</si>
  <si>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</si>
  <si>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</si>
  <si>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</si>
  <si>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</si>
  <si>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</si>
  <si>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</si>
  <si>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</si>
  <si>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</si>
  <si>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</si>
  <si>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</si>
  <si>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</si>
  <si>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</si>
  <si>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</si>
  <si>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</si>
  <si>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</si>
  <si>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</si>
  <si>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</si>
  <si>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</si>
  <si>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</si>
  <si>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</si>
  <si>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</si>
  <si>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</si>
  <si>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</si>
  <si>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</si>
  <si>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</si>
  <si>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</si>
  <si>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</si>
  <si>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</si>
  <si>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</si>
  <si>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</si>
  <si>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</si>
  <si>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</si>
  <si>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</si>
  <si>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</si>
  <si>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</si>
  <si>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</si>
  <si>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</si>
  <si>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</si>
  <si>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</si>
  <si>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</si>
  <si>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</si>
  <si>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</si>
  <si>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</si>
  <si>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</si>
  <si>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</si>
  <si>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</si>
  <si>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</si>
  <si>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</si>
  <si>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</si>
  <si>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</si>
  <si>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</si>
  <si>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</si>
  <si>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</si>
  <si>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</si>
  <si>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</si>
  <si>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</si>
  <si>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</si>
  <si>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</si>
  <si>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</si>
  <si>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</si>
  <si>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</si>
  <si>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</si>
  <si>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</si>
  <si>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</si>
  <si>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</si>
  <si>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</si>
  <si>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</si>
  <si>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</si>
  <si>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</si>
  <si>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</si>
  <si>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</si>
  <si>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</si>
  <si>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</si>
  <si>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</si>
  <si>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</si>
  <si>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</si>
  <si>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</si>
  <si>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</si>
  <si>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</si>
  <si>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</si>
  <si>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</si>
  <si>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</si>
  <si>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</si>
  <si>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</si>
  <si>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</si>
  <si>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</si>
  <si>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</si>
  <si>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</si>
  <si>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</si>
  <si>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</si>
  <si>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</si>
  <si>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</si>
  <si>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</si>
  <si>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</si>
  <si>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</si>
  <si>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</si>
  <si>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</si>
  <si>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</si>
  <si>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</si>
  <si>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</si>
  <si>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</si>
  <si>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</si>
  <si>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</si>
  <si>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</si>
  <si>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</si>
  <si>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</si>
  <si>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</si>
  <si>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</si>
  <si>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</si>
  <si>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</si>
  <si>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</si>
  <si>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</si>
  <si>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</si>
  <si>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</si>
  <si>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</si>
  <si>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</si>
  <si>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</si>
  <si>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</si>
  <si>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</si>
  <si>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</si>
  <si>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</si>
  <si>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</si>
  <si>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</si>
  <si>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</si>
  <si>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</si>
  <si>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</si>
  <si>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</si>
  <si>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</si>
  <si>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</si>
  <si>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</si>
  <si>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</si>
  <si>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</si>
  <si>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</si>
  <si>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</si>
  <si>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</si>
  <si>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</si>
  <si>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</si>
  <si>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</si>
  <si>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</si>
  <si>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</si>
  <si>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</si>
  <si>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</si>
  <si>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</si>
  <si>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</si>
  <si>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</si>
  <si>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</si>
  <si>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</si>
  <si>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</si>
  <si>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</si>
  <si>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</si>
  <si>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</si>
  <si>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</si>
  <si>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</si>
  <si>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</si>
  <si>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</si>
  <si>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</si>
  <si>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</si>
  <si>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</si>
  <si>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</si>
  <si>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</si>
  <si>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</si>
  <si>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</si>
  <si>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</si>
  <si>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</si>
  <si>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</si>
  <si>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</si>
  <si>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</si>
  <si>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</si>
  <si>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</si>
  <si>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</si>
  <si>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</si>
  <si>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</si>
  <si>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</si>
  <si>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</si>
  <si>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</si>
  <si>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</si>
  <si>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</si>
  <si>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</si>
  <si>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</si>
  <si>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</si>
  <si>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</si>
  <si>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</si>
  <si>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</si>
  <si>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</si>
  <si>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</si>
  <si>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</si>
  <si>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</si>
  <si>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</si>
  <si>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</si>
  <si>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</si>
  <si>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</si>
  <si>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</si>
  <si>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</si>
  <si>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</si>
  <si>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</si>
  <si>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</si>
  <si>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</si>
  <si>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</si>
  <si>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</si>
  <si>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</si>
  <si>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</si>
  <si>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</si>
  <si>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</si>
  <si>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</si>
  <si>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</si>
  <si>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</si>
  <si>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</si>
  <si>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</si>
  <si>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</si>
  <si>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</si>
  <si>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</si>
  <si>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</si>
  <si>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</si>
  <si>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</si>
  <si>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</si>
  <si>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</si>
  <si>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</si>
  <si>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</si>
  <si>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</si>
  <si>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</si>
  <si>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</si>
  <si>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</si>
  <si>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</si>
  <si>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</si>
  <si>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</si>
  <si>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</si>
  <si>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</si>
  <si>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</si>
  <si>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</si>
  <si>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</si>
  <si>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</si>
  <si>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</si>
  <si>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</si>
  <si>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</si>
  <si>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</si>
  <si>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</si>
  <si>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</si>
  <si>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</si>
  <si>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</si>
  <si>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</si>
  <si>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</si>
  <si>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</si>
  <si>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</si>
  <si>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</si>
  <si>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</si>
  <si>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</si>
  <si>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</si>
  <si>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</si>
  <si>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</si>
  <si>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</si>
  <si>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</si>
  <si>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</si>
  <si>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</si>
  <si>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</si>
  <si>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</si>
  <si>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</si>
  <si>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</si>
  <si>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</si>
  <si>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</si>
  <si>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</si>
  <si>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</si>
  <si>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</si>
  <si>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</si>
  <si>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</si>
  <si>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</si>
  <si>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</si>
  <si>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</si>
  <si>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</si>
  <si>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</si>
  <si>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</si>
  <si>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</si>
  <si>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</si>
  <si>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</si>
  <si>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</si>
  <si>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</si>
  <si>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</si>
  <si>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</si>
  <si>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</si>
  <si>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</si>
  <si>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</si>
  <si>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</si>
  <si>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</si>
  <si>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</si>
  <si>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</si>
  <si>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</si>
  <si>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</si>
  <si>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</si>
  <si>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</si>
  <si>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</si>
  <si>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</si>
  <si>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</si>
  <si>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</si>
  <si>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</si>
  <si>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</si>
  <si>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</si>
  <si>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</si>
  <si>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</si>
  <si>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</si>
  <si>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</si>
  <si>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</si>
  <si>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</si>
  <si>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</si>
  <si>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</si>
  <si>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</si>
  <si>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</si>
  <si>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</si>
  <si>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</si>
  <si>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</si>
  <si>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</si>
  <si>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</si>
  <si>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</si>
  <si>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</si>
  <si>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</si>
  <si>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</si>
  <si>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</si>
  <si>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</si>
  <si>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</si>
  <si>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</si>
  <si>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</si>
  <si>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</si>
  <si>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</si>
  <si>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</si>
  <si>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</si>
  <si>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</si>
  <si>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</si>
  <si>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</si>
  <si>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</si>
  <si>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</si>
  <si>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</si>
  <si>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</si>
  <si>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</si>
  <si>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</si>
  <si>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</si>
  <si>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</si>
  <si>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</si>
  <si>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</si>
  <si>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</si>
  <si>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</si>
  <si>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</si>
  <si>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</si>
  <si>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</si>
  <si>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</si>
  <si>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</si>
  <si>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</si>
  <si>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</si>
  <si>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</si>
  <si>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</si>
  <si>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</si>
  <si>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</si>
  <si>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</si>
  <si>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</si>
  <si>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</si>
  <si>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</si>
  <si>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</si>
  <si>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</si>
  <si>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</si>
  <si>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</si>
  <si>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</si>
  <si>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</si>
  <si>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</si>
  <si>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</si>
  <si>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</si>
  <si>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</si>
  <si>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</si>
  <si>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</si>
  <si>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</si>
  <si>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</si>
  <si>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</si>
  <si>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</si>
  <si>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</si>
  <si>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</si>
  <si>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</si>
  <si>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</si>
  <si>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</si>
  <si>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</si>
  <si>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</si>
  <si>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</si>
  <si>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</si>
  <si>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</si>
  <si>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</si>
  <si>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</si>
  <si>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</si>
  <si>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</si>
  <si>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</si>
  <si>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</si>
  <si>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</si>
  <si>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</si>
  <si>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</si>
  <si>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</si>
  <si>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</si>
  <si>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</si>
  <si>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</si>
  <si>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</si>
  <si>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</si>
  <si>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</si>
  <si>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</si>
  <si>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</si>
  <si>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</si>
  <si>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</si>
  <si>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</si>
  <si>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</si>
  <si>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</si>
  <si>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</si>
  <si>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</si>
  <si>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</si>
  <si>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</si>
  <si>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</si>
  <si>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</si>
  <si>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</si>
  <si>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</si>
  <si>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</si>
  <si>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</si>
  <si>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</si>
  <si>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</si>
  <si>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</si>
  <si>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</si>
  <si>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</si>
  <si>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</si>
  <si>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</si>
  <si>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</si>
  <si>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</si>
  <si>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</si>
  <si>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</si>
  <si>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</si>
  <si>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</si>
  <si>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</si>
  <si>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</si>
  <si>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</si>
  <si>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</si>
  <si>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</si>
  <si>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</si>
  <si>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</si>
  <si>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</si>
  <si>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</si>
  <si>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</si>
  <si>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</si>
  <si>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</si>
  <si>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</si>
  <si>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</si>
  <si>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</si>
  <si>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</si>
  <si>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</si>
  <si>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</si>
  <si>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</si>
  <si>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</si>
  <si>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</si>
  <si>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</si>
  <si>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</si>
  <si>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</si>
  <si>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</si>
  <si>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</si>
  <si>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</si>
  <si>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</si>
  <si>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</si>
  <si>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</si>
  <si>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</si>
  <si>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</si>
  <si>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</si>
  <si>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</si>
  <si>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</si>
  <si>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</si>
  <si>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</si>
  <si>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</si>
  <si>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</si>
  <si>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</si>
  <si>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</si>
  <si>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</si>
  <si>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</si>
  <si>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</si>
  <si>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</si>
  <si>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</si>
  <si>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</si>
  <si>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</si>
  <si>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</si>
  <si>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</si>
  <si>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</si>
  <si>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</si>
  <si>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</si>
  <si>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</si>
  <si>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</si>
  <si>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</si>
  <si>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</si>
  <si>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</si>
  <si>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</si>
  <si>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</si>
  <si>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</si>
  <si>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</si>
  <si>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</si>
  <si>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</si>
  <si>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</si>
  <si>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</si>
  <si>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</si>
  <si>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</si>
  <si>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</si>
  <si>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</si>
  <si>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</si>
  <si>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</si>
  <si>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</si>
  <si>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</si>
  <si>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</si>
  <si>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</si>
  <si>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</si>
  <si>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</si>
  <si>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</si>
  <si>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</si>
  <si>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</si>
  <si>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</si>
  <si>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</si>
  <si>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</si>
  <si>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</si>
  <si>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</si>
  <si>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</si>
  <si>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</si>
  <si>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</si>
  <si>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</si>
  <si>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</si>
  <si>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</si>
  <si>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</si>
  <si>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</si>
  <si>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</si>
  <si>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</si>
  <si>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</si>
  <si>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</si>
  <si>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</si>
  <si>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</si>
  <si>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</si>
  <si>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</si>
  <si>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</si>
  <si>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</si>
  <si>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</si>
  <si>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</si>
  <si>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</si>
  <si>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</si>
  <si>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</si>
  <si>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</si>
  <si>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</si>
  <si>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</si>
  <si>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</si>
  <si>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</si>
  <si>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</si>
  <si>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</si>
  <si>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</si>
  <si>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</si>
  <si>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</si>
  <si>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</si>
  <si>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</si>
  <si>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</si>
  <si>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</si>
  <si>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</si>
  <si>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</si>
  <si>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</si>
  <si>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</si>
  <si>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</si>
  <si>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</si>
  <si>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</si>
  <si>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</si>
  <si>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</si>
  <si>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</si>
  <si>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</si>
  <si>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</si>
  <si>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</si>
  <si>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</si>
  <si>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</si>
  <si>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</si>
  <si>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</si>
  <si>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</si>
  <si>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</si>
  <si>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</si>
  <si>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</si>
  <si>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</si>
  <si>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</si>
  <si>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</si>
  <si>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</si>
  <si>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</si>
  <si>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</si>
  <si>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</si>
  <si>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</si>
  <si>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</si>
  <si>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</si>
  <si>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</si>
  <si>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</si>
  <si>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</si>
  <si>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</si>
  <si>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</si>
  <si>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</si>
  <si>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</si>
  <si>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</si>
  <si>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</si>
  <si>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</si>
  <si>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</si>
  <si>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</si>
  <si>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</si>
  <si>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</si>
  <si>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</si>
  <si>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</si>
  <si>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</si>
  <si>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</si>
  <si>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</si>
  <si>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</si>
  <si>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</si>
  <si>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</si>
  <si>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</si>
  <si>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</si>
  <si>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</si>
  <si>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</si>
  <si>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</si>
  <si>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</si>
  <si>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</si>
  <si>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</si>
  <si>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</si>
  <si>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</si>
  <si>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</si>
  <si>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</si>
  <si>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</si>
  <si>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</si>
  <si>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</si>
  <si>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</si>
  <si>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</si>
  <si>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</si>
  <si>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</si>
  <si>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</si>
  <si>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</si>
  <si>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</si>
  <si>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</si>
  <si>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</si>
  <si>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</si>
  <si>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</si>
  <si>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</si>
  <si>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</si>
  <si>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</si>
  <si>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</si>
  <si>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</si>
  <si>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</si>
  <si>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</si>
  <si>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</si>
  <si>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</si>
  <si>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</si>
  <si>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</si>
  <si>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</si>
  <si>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</si>
  <si>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</si>
  <si>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</si>
  <si>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</si>
  <si>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</si>
  <si>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</si>
  <si>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</si>
  <si>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</si>
  <si>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</si>
  <si>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</si>
  <si>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</si>
  <si>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</si>
  <si>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</si>
  <si>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</si>
  <si>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</si>
  <si>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</si>
  <si>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</si>
  <si>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</si>
  <si>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</si>
  <si>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</si>
  <si>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</si>
  <si>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</si>
  <si>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</si>
  <si>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</si>
  <si>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</si>
  <si>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</si>
  <si>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</si>
  <si>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</si>
  <si>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</si>
  <si>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</si>
  <si>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</si>
  <si>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</si>
  <si>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</si>
  <si>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</si>
  <si>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</si>
  <si>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</si>
  <si>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</si>
  <si>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</si>
  <si>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</si>
  <si>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</si>
  <si>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</si>
  <si>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</si>
  <si>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</si>
  <si>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</si>
  <si>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</si>
  <si>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</si>
  <si>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</si>
  <si>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</si>
  <si>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</si>
  <si>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</si>
  <si>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</si>
  <si>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</si>
  <si>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</si>
  <si>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</si>
  <si>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</si>
  <si>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</si>
  <si>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</si>
  <si>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</si>
  <si>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</si>
  <si>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</si>
  <si>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</si>
  <si>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</si>
  <si>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</si>
  <si>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</si>
  <si>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</si>
  <si>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</si>
  <si>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</si>
  <si>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</si>
  <si>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</si>
  <si>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</si>
  <si>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</si>
  <si>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</si>
  <si>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</si>
  <si>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</si>
  <si>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</si>
  <si>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</si>
  <si>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</si>
  <si>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</si>
  <si>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</si>
  <si>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</si>
  <si>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</si>
  <si>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</si>
  <si>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</si>
  <si>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</si>
  <si>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</si>
  <si>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</si>
  <si>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</si>
  <si>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</si>
  <si>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</si>
  <si>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</si>
  <si>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</si>
  <si>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</si>
  <si>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</si>
  <si>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</si>
  <si>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</si>
  <si>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</si>
  <si>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</si>
  <si>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</si>
  <si>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</si>
  <si>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</si>
  <si>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</si>
  <si>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</si>
  <si>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</si>
  <si>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</si>
  <si>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</si>
  <si>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</si>
  <si>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</si>
  <si>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</si>
  <si>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</si>
  <si>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</si>
  <si>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</si>
  <si>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</si>
  <si>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</si>
  <si>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</si>
  <si>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</si>
  <si>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</si>
  <si>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</si>
  <si>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</si>
  <si>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</si>
  <si>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</si>
  <si>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</si>
  <si>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</si>
  <si>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</si>
  <si>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</si>
  <si>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</si>
  <si>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</si>
  <si>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</si>
  <si>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</si>
  <si>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</si>
  <si>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</si>
  <si>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</si>
  <si>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</si>
  <si>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</si>
  <si>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</si>
  <si>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</si>
  <si>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</si>
  <si>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</si>
  <si>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</si>
  <si>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</si>
  <si>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</si>
  <si>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</si>
  <si>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</si>
  <si>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</si>
  <si>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</si>
  <si>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</si>
  <si>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</si>
  <si>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</si>
  <si>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</si>
  <si>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</si>
  <si>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</si>
  <si>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</si>
  <si>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</si>
  <si>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</si>
  <si>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</si>
  <si>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</si>
  <si>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</si>
  <si>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</si>
  <si>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</si>
  <si>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</si>
  <si>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</si>
  <si>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</si>
  <si>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</si>
  <si>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</si>
  <si>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</si>
  <si>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</si>
  <si>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</si>
  <si>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</si>
  <si>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</si>
  <si>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</si>
  <si>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</si>
  <si>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</si>
  <si>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</si>
  <si>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</si>
  <si>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</si>
  <si>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</si>
  <si>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</si>
  <si>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</si>
  <si>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</si>
  <si>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</si>
  <si>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</si>
  <si>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</si>
  <si>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</si>
  <si>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</si>
  <si>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</si>
  <si>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</si>
  <si>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</si>
  <si>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</si>
  <si>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</si>
  <si>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</si>
  <si>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</si>
  <si>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</si>
  <si>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</si>
  <si>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</si>
  <si>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</si>
  <si>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</si>
  <si>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</si>
  <si>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</si>
  <si>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</si>
  <si>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</si>
  <si>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</si>
  <si>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</si>
  <si>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</si>
  <si>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</si>
  <si>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</si>
  <si>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</si>
  <si>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</si>
  <si>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</si>
  <si>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</si>
  <si>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</si>
  <si>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</si>
  <si>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</si>
  <si>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</si>
  <si>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</si>
  <si>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</si>
  <si>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</si>
  <si>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</si>
  <si>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</si>
  <si>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</si>
  <si>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</si>
  <si>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</si>
  <si>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</si>
  <si>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</si>
  <si>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</si>
  <si>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</si>
  <si>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</si>
  <si>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</si>
  <si>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</si>
  <si>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</si>
  <si>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</si>
  <si>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</si>
  <si>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</si>
  <si>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</si>
  <si>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</si>
  <si>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</si>
  <si>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</si>
  <si>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</si>
  <si>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</si>
  <si>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</si>
  <si>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</si>
  <si>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</si>
  <si>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</si>
  <si>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</si>
  <si>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</si>
  <si>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</si>
  <si>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</si>
  <si>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</si>
  <si>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</si>
  <si>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</si>
  <si>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</si>
  <si>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</si>
  <si>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</si>
  <si>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</si>
  <si>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</si>
  <si>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</si>
  <si>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</si>
  <si>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</si>
  <si>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</si>
  <si>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</si>
  <si>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</si>
  <si>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</si>
  <si>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</si>
  <si>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</si>
  <si>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</si>
  <si>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</si>
  <si>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</si>
  <si>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</si>
  <si>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</si>
  <si>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</si>
  <si>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</si>
  <si>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</si>
  <si>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</si>
  <si>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</si>
  <si>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</si>
  <si>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</si>
  <si>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</si>
  <si>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</si>
  <si>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</si>
  <si>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</si>
  <si>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</si>
  <si>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</si>
  <si>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</si>
  <si>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</si>
  <si>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</si>
  <si>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</si>
  <si>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</si>
  <si>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</si>
  <si>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</si>
  <si>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</si>
  <si>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</si>
  <si>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</si>
  <si>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</si>
  <si>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</si>
  <si>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</si>
  <si>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</si>
  <si>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</si>
  <si>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</si>
  <si>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</si>
  <si>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</si>
  <si>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</si>
  <si>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</si>
  <si>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</si>
  <si>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</si>
  <si>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</si>
  <si>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</si>
  <si>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</si>
  <si>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</si>
  <si>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</si>
  <si>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</si>
  <si>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</si>
  <si>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</si>
  <si>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</si>
  <si>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</si>
  <si>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</si>
  <si>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</si>
  <si>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</si>
  <si>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</si>
  <si>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</si>
  <si>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</si>
  <si>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</si>
  <si>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</si>
  <si>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</si>
  <si>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</si>
  <si>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</si>
  <si>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</si>
  <si>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</si>
  <si>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</si>
  <si>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</si>
  <si>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</si>
  <si>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</si>
  <si>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</si>
  <si>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</si>
  <si>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</si>
  <si>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</si>
  <si>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</si>
  <si>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</si>
  <si>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</si>
  <si>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</si>
  <si>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</si>
  <si>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</si>
  <si>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</si>
  <si>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</si>
  <si>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</si>
  <si>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</si>
  <si>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</si>
  <si>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</si>
  <si>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</si>
  <si>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</si>
  <si>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</si>
  <si>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</si>
  <si>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</si>
  <si>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</si>
  <si>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</si>
  <si>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</si>
  <si>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</si>
  <si>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</si>
  <si>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</si>
  <si>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</si>
  <si>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</si>
  <si>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</si>
  <si>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</si>
  <si>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</si>
  <si>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</si>
  <si>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</si>
  <si>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</si>
  <si>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</si>
  <si>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</si>
  <si>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</si>
  <si>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</si>
  <si>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</si>
  <si>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</si>
  <si>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</si>
  <si>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</si>
  <si>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</si>
  <si>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</si>
  <si>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</si>
  <si>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</si>
  <si>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</si>
  <si>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</si>
  <si>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</si>
  <si>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</si>
  <si>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</si>
  <si>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</si>
  <si>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</si>
  <si>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</si>
  <si>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</si>
  <si>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</si>
  <si>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</si>
  <si>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</si>
  <si>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</si>
  <si>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</si>
  <si>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</si>
  <si>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</si>
  <si>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</si>
  <si>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</si>
  <si>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</si>
  <si>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</si>
  <si>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</si>
  <si>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</si>
  <si>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</si>
  <si>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</si>
  <si>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</si>
  <si>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</si>
  <si>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</si>
  <si>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</si>
  <si>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</si>
  <si>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</si>
  <si>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</si>
  <si>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</si>
  <si>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</si>
  <si>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</si>
  <si>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</si>
  <si>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</si>
  <si>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</si>
  <si>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</si>
  <si>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</si>
  <si>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</si>
  <si>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</si>
  <si>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</si>
  <si>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</si>
  <si>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</si>
  <si>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</si>
  <si>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</si>
  <si>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</si>
  <si>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</si>
  <si>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</si>
  <si>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</si>
  <si>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</si>
  <si>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</si>
  <si>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</si>
  <si>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</si>
  <si>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</si>
  <si>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</si>
  <si>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</si>
  <si>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</si>
  <si>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</si>
  <si>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</si>
  <si>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</si>
  <si>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</si>
  <si>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</si>
  <si>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</si>
  <si>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</si>
  <si>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</si>
  <si>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</si>
  <si>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</si>
  <si>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</si>
  <si>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</si>
  <si>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</si>
  <si>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</si>
  <si>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</si>
  <si>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</si>
  <si>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</si>
  <si>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</si>
  <si>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</si>
  <si>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</si>
  <si>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</si>
  <si>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</si>
  <si>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</si>
  <si>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</si>
  <si>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</si>
  <si>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</si>
  <si>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</si>
  <si>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</si>
  <si>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</si>
  <si>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</si>
  <si>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</si>
  <si>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</si>
  <si>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</si>
  <si>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</si>
  <si>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</si>
  <si>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</si>
  <si>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</si>
  <si>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</si>
  <si>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</si>
  <si>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</si>
  <si>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</si>
  <si>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</si>
  <si>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</si>
  <si>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</si>
  <si>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</si>
  <si>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</si>
  <si>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</si>
  <si>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</si>
  <si>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</si>
  <si>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</si>
  <si>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</si>
  <si>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</si>
  <si>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</si>
  <si>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</si>
  <si>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</si>
  <si>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</si>
  <si>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</si>
  <si>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</si>
  <si>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</si>
  <si>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</si>
  <si>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</si>
  <si>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</si>
  <si>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</si>
  <si>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</si>
  <si>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</si>
  <si>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</si>
  <si>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</si>
  <si>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</si>
  <si>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</si>
  <si>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</si>
  <si>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</si>
  <si>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</si>
  <si>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</si>
  <si>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</si>
  <si>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</si>
  <si>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</si>
  <si>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</si>
  <si>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</si>
  <si>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</si>
  <si>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</si>
  <si>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</si>
  <si>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</si>
  <si>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</si>
  <si>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</si>
  <si>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</si>
  <si>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</si>
  <si>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</si>
  <si>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</si>
  <si>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</si>
  <si>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</si>
  <si>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</si>
  <si>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</si>
  <si>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</si>
  <si>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</si>
  <si>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</si>
  <si>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</si>
  <si>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</si>
  <si>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</si>
  <si>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</si>
  <si>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</si>
  <si>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</si>
  <si>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</si>
  <si>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</si>
  <si>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</si>
  <si>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</si>
  <si>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</si>
  <si>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</si>
  <si>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</si>
  <si>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</si>
  <si>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</si>
  <si>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</si>
  <si>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</si>
  <si>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</si>
  <si>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</si>
  <si>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</si>
  <si>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</si>
  <si>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</si>
  <si>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</si>
  <si>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</si>
  <si>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</si>
  <si>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</si>
  <si>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</si>
  <si>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</si>
  <si>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</si>
  <si>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</si>
  <si>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</si>
  <si>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</si>
  <si>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</si>
  <si>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</si>
  <si>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</si>
  <si>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</si>
  <si>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</si>
  <si>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</si>
  <si>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</si>
  <si>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</si>
  <si>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</si>
  <si>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</si>
  <si>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</si>
  <si>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</si>
  <si>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</si>
  <si>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</si>
  <si>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</si>
  <si>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</si>
  <si>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</si>
  <si>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</si>
  <si>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</si>
  <si>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</si>
  <si>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</si>
  <si>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</si>
  <si>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</si>
  <si>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</si>
  <si>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</si>
  <si>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</si>
  <si>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</si>
  <si>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</si>
  <si>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</si>
  <si>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</si>
  <si>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</si>
  <si>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</si>
  <si>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</si>
  <si>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</si>
  <si>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</si>
  <si>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</si>
  <si>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</si>
  <si>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</si>
  <si>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</si>
  <si>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</si>
  <si>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</si>
  <si>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</si>
  <si>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</si>
  <si>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</si>
  <si>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</si>
  <si>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</si>
  <si>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</si>
  <si>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</si>
  <si>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</si>
  <si>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</si>
  <si>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</si>
  <si>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</si>
  <si>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</si>
  <si>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</si>
  <si>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</si>
  <si>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</si>
  <si>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</si>
  <si>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</si>
  <si>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</si>
  <si>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</si>
  <si>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</si>
  <si>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</si>
  <si>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</si>
  <si>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</si>
  <si>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</si>
  <si>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</si>
  <si>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</si>
  <si>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</si>
  <si>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</si>
  <si>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</si>
  <si>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</si>
  <si>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</si>
  <si>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</si>
  <si>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</si>
  <si>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</si>
  <si>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</si>
  <si>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</si>
  <si>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</si>
  <si>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</si>
  <si>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</si>
  <si>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</si>
  <si>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</si>
  <si>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</si>
  <si>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</si>
  <si>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</si>
  <si>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</si>
  <si>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</si>
  <si>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</si>
  <si>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</si>
  <si>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</si>
  <si>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</si>
  <si>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</si>
  <si>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</si>
  <si>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</si>
  <si>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</si>
  <si>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</si>
  <si>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</si>
  <si>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</si>
  <si>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</si>
  <si>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</si>
  <si>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</si>
  <si>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</si>
  <si>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</si>
  <si>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</si>
  <si>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</si>
  <si>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</si>
  <si>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</si>
  <si>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</si>
  <si>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</si>
  <si>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</si>
  <si>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</si>
  <si>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</si>
  <si>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</si>
  <si>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</si>
  <si>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</si>
  <si>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</si>
  <si>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</si>
  <si>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</si>
  <si>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</si>
  <si>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</si>
  <si>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</si>
  <si>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</si>
  <si>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</si>
  <si>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</si>
  <si>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</si>
  <si>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</si>
  <si>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</si>
  <si>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</si>
  <si>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</si>
  <si>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</si>
  <si>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</si>
  <si>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</si>
  <si>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</si>
  <si>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</si>
  <si>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</si>
  <si>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</si>
  <si>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</si>
  <si>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</si>
  <si>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</si>
  <si>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</si>
  <si>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</si>
  <si>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</si>
  <si>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</si>
  <si>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</si>
  <si>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</si>
  <si>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</si>
  <si>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</si>
  <si>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</si>
  <si>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</si>
  <si>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</si>
  <si>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</si>
  <si>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</si>
  <si>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</si>
  <si>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</si>
  <si>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</si>
  <si>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</si>
  <si>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</si>
  <si>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</si>
  <si>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</si>
  <si>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</si>
  <si>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</si>
  <si>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</si>
  <si>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</si>
  <si>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</si>
  <si>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</si>
  <si>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</si>
  <si>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</si>
  <si>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</si>
  <si>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</si>
  <si>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</si>
  <si>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</si>
  <si>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</si>
  <si>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</si>
  <si>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</si>
  <si>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</si>
  <si>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</si>
  <si>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</si>
  <si>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</si>
  <si>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</si>
  <si>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</si>
  <si>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</si>
  <si>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</si>
  <si>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</si>
  <si>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</si>
  <si>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</si>
  <si>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</si>
  <si>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</si>
  <si>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</si>
  <si>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</si>
  <si>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</si>
  <si>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</si>
  <si>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</si>
  <si>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</si>
  <si>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</si>
  <si>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</si>
  <si>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</si>
  <si>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</si>
  <si>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</si>
  <si>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</si>
  <si>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</si>
  <si>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</si>
  <si>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</si>
  <si>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</si>
  <si>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</si>
  <si>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</si>
  <si>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</si>
  <si>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</si>
  <si>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</si>
  <si>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</si>
  <si>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</si>
  <si>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</si>
  <si>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</si>
  <si>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</si>
  <si>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</si>
  <si>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</si>
  <si>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</si>
  <si>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</si>
  <si>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</si>
  <si>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</si>
  <si>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</si>
  <si>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</si>
  <si>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</si>
  <si>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</si>
  <si>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</si>
  <si>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</si>
  <si>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</si>
  <si>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</si>
  <si>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</si>
  <si>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</si>
  <si>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</si>
  <si>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</si>
  <si>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</si>
  <si>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</si>
  <si>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</si>
  <si>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</si>
  <si>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</si>
  <si>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</si>
  <si>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</si>
  <si>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</si>
  <si>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</si>
  <si>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</si>
  <si>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</si>
  <si>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</si>
  <si>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</si>
  <si>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</si>
  <si>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</si>
  <si>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</si>
  <si>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</si>
  <si>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</si>
  <si>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</si>
  <si>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</si>
  <si>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</si>
  <si>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</si>
  <si>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</si>
  <si>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</si>
  <si>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</si>
  <si>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</si>
  <si>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</si>
  <si>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</si>
  <si>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</si>
  <si>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</si>
  <si>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</si>
  <si>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</si>
  <si>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</si>
  <si>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</si>
  <si>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</si>
  <si>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</si>
  <si>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</si>
  <si>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</si>
  <si>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</si>
  <si>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</si>
  <si>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</si>
  <si>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</si>
  <si>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</si>
  <si>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</si>
  <si>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</si>
  <si>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</si>
  <si>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</si>
  <si>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</si>
  <si>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</si>
  <si>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</si>
  <si>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</si>
  <si>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</si>
  <si>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</si>
  <si>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</si>
  <si>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</si>
  <si>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</si>
  <si>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</si>
  <si>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</si>
  <si>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</si>
  <si>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</si>
  <si>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</si>
  <si>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</si>
  <si>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</si>
  <si>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</si>
  <si>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</si>
  <si>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</si>
  <si>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</si>
  <si>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</si>
  <si>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</si>
  <si>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</si>
  <si>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</si>
  <si>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</si>
  <si>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</si>
  <si>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</si>
  <si>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</si>
  <si>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</si>
  <si>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</si>
  <si>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</si>
  <si>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</si>
  <si>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</si>
  <si>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</si>
  <si>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</si>
  <si>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</si>
  <si>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</si>
  <si>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</si>
  <si>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</si>
  <si>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</si>
  <si>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</si>
  <si>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</si>
  <si>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</si>
  <si>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</si>
  <si>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</si>
  <si>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</si>
  <si>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</si>
  <si>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</si>
  <si>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</si>
  <si>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</si>
  <si>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</si>
  <si>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</si>
  <si>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</si>
  <si>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</si>
  <si>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</si>
  <si>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</si>
  <si>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</si>
  <si>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</si>
  <si>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</si>
  <si>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</si>
  <si>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</si>
  <si>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</si>
  <si>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</si>
  <si>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</si>
  <si>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</si>
  <si>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</si>
  <si>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</si>
  <si>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</si>
  <si>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</si>
  <si>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</si>
  <si>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</si>
  <si>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</si>
  <si>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</si>
  <si>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</si>
  <si>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</si>
  <si>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</si>
  <si>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</si>
  <si>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</si>
  <si>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</si>
  <si>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</si>
  <si>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</si>
  <si>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</si>
  <si>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</si>
  <si>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</si>
  <si>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</si>
  <si>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</si>
  <si>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</si>
  <si>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</si>
  <si>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</si>
  <si>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</si>
  <si>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</si>
  <si>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</si>
  <si>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</si>
  <si>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</si>
  <si>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</si>
  <si>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</si>
  <si>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</si>
  <si>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</si>
  <si>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</si>
  <si>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</si>
  <si>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</si>
  <si>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</si>
  <si>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</si>
  <si>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</si>
  <si>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</si>
  <si>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</si>
  <si>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</si>
  <si>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</si>
  <si>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</si>
  <si>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</si>
  <si>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</si>
  <si>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</si>
  <si>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</si>
  <si>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</si>
  <si>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</si>
  <si>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</si>
  <si>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</si>
  <si>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</si>
  <si>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</si>
  <si>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</si>
  <si>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</si>
  <si>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</si>
  <si>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</si>
  <si>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</si>
  <si>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</si>
  <si>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</si>
  <si>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</si>
  <si>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</si>
  <si>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</si>
  <si>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</si>
  <si>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</si>
  <si>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</si>
  <si>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</si>
  <si>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</si>
  <si>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</si>
  <si>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</si>
  <si>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</si>
  <si>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</si>
  <si>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</si>
  <si>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</si>
  <si>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</si>
  <si>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</si>
  <si>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</si>
  <si>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</si>
  <si>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</si>
  <si>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</si>
  <si>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</si>
  <si>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</si>
  <si>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</si>
  <si>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</si>
  <si>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</si>
  <si>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</si>
  <si>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</si>
  <si>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</si>
  <si>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</si>
  <si>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</si>
  <si>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</si>
  <si>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</si>
  <si>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</si>
  <si>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</si>
  <si>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</si>
  <si>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</si>
  <si>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</si>
  <si>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</si>
  <si>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</si>
  <si>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</si>
  <si>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</si>
  <si>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</si>
  <si>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</si>
  <si>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</si>
  <si>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</si>
  <si>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</si>
  <si>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</si>
  <si>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</si>
  <si>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</si>
  <si>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</si>
  <si>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</si>
  <si>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</si>
  <si>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</si>
  <si>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</si>
  <si>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</si>
  <si>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</si>
  <si>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</si>
  <si>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</si>
  <si>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</si>
  <si>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</si>
  <si>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</si>
  <si>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</si>
  <si>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</si>
  <si>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</si>
  <si>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</si>
  <si>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</si>
  <si>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</si>
  <si>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</si>
  <si>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</si>
  <si>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</si>
  <si>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</si>
  <si>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</si>
  <si>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</si>
  <si>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</si>
  <si>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</si>
  <si>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</si>
  <si>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</si>
  <si>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</si>
  <si>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</si>
  <si>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</si>
  <si>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</si>
  <si>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</si>
  <si>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</si>
  <si>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</si>
  <si>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</si>
  <si>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</si>
  <si>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</si>
  <si>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</si>
  <si>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</si>
  <si>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</si>
  <si>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</si>
  <si>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</si>
  <si>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</si>
  <si>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</si>
  <si>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</si>
  <si>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</si>
  <si>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</si>
  <si>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</si>
  <si>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</si>
  <si>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</si>
  <si>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</si>
  <si>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</si>
  <si>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</si>
  <si>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</si>
  <si>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</si>
  <si>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</si>
  <si>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</si>
  <si>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</si>
  <si>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</si>
  <si>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</si>
  <si>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</si>
  <si>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</si>
  <si>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</si>
  <si>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</si>
  <si>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</si>
  <si>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</si>
  <si>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</si>
  <si>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</si>
  <si>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</si>
  <si>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</si>
  <si>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</si>
  <si>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</si>
  <si>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</si>
  <si>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</si>
  <si>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</si>
  <si>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</si>
  <si>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</si>
  <si>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</si>
  <si>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</si>
  <si>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</si>
  <si>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</si>
  <si>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</si>
  <si>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</si>
  <si>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</si>
  <si>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</si>
  <si>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</si>
  <si>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</si>
  <si>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</si>
  <si>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</si>
  <si>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</si>
  <si>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</si>
  <si>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</si>
  <si>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</si>
  <si>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</si>
  <si>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</si>
  <si>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</si>
  <si>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</si>
  <si>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</si>
  <si>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</si>
  <si>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</si>
  <si>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</si>
  <si>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</si>
  <si>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</si>
  <si>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</si>
  <si>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</si>
  <si>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</si>
  <si>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</si>
  <si>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</si>
  <si>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</si>
  <si>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</si>
  <si>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</si>
  <si>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</si>
  <si>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</si>
  <si>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</si>
  <si>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</si>
  <si>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</si>
  <si>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</si>
  <si>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</si>
  <si>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</si>
  <si>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</si>
  <si>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</si>
  <si>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</si>
  <si>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</si>
  <si>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</si>
  <si>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</si>
  <si>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</si>
  <si>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</si>
  <si>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</si>
  <si>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</si>
  <si>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</si>
  <si>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</si>
  <si>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</si>
  <si>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</si>
  <si>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</si>
  <si>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</si>
  <si>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</si>
  <si>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</si>
  <si>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</si>
  <si>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</si>
  <si>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</si>
  <si>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</si>
  <si>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</si>
  <si>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</si>
  <si>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</si>
  <si>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</si>
  <si>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</si>
  <si>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</si>
  <si>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</si>
  <si>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</si>
  <si>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</si>
  <si>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</si>
  <si>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</si>
  <si>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</si>
  <si>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</si>
  <si>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</si>
  <si>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</si>
  <si>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</si>
  <si>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</si>
  <si>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</si>
  <si>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</si>
  <si>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</si>
  <si>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</si>
  <si>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</si>
  <si>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</si>
  <si>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</si>
  <si>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</si>
  <si>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</si>
  <si>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</si>
  <si>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</si>
  <si>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</si>
  <si>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</si>
  <si>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</si>
  <si>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</si>
  <si>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</si>
  <si>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</si>
  <si>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</si>
  <si>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</si>
  <si>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</si>
  <si>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</si>
  <si>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</si>
  <si>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</si>
  <si>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</si>
  <si>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</si>
  <si>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</si>
  <si>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</si>
  <si>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</si>
  <si>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</si>
  <si>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</si>
  <si>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</si>
  <si>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</si>
  <si>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</si>
  <si>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</si>
  <si>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</si>
  <si>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</si>
  <si>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</si>
  <si>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</si>
  <si>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</si>
  <si>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</si>
  <si>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</si>
  <si>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</si>
  <si>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</si>
  <si>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</si>
  <si>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</si>
  <si>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</si>
  <si>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</si>
  <si>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</si>
  <si>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</si>
  <si>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</si>
  <si>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</si>
  <si>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</si>
  <si>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</si>
  <si>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</si>
  <si>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</si>
  <si>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</si>
  <si>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</si>
  <si>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</si>
  <si>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</si>
  <si>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</si>
  <si>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</si>
  <si>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</si>
  <si>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</si>
  <si>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</si>
  <si>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</si>
  <si>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</si>
  <si>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</si>
  <si>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</si>
  <si>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</si>
  <si>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</si>
  <si>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</si>
  <si>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</si>
  <si>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</si>
  <si>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</si>
  <si>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</si>
  <si>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</si>
  <si>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</si>
  <si>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</si>
  <si>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</si>
  <si>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</si>
  <si>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</si>
  <si>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</si>
  <si>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</si>
  <si>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</si>
  <si>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</si>
  <si>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</si>
  <si>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</si>
  <si>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</si>
  <si>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</si>
  <si>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</si>
  <si>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</si>
  <si>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</si>
  <si>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</si>
  <si>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</si>
  <si>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</si>
  <si>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</si>
  <si>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</si>
  <si>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</si>
  <si>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</si>
  <si>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</si>
  <si>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</si>
  <si>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</si>
  <si>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</si>
  <si>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</si>
  <si>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</si>
  <si>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</si>
  <si>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</si>
  <si>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</si>
  <si>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</si>
  <si>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</si>
  <si>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</si>
  <si>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</si>
  <si>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</si>
  <si>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</si>
  <si>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</si>
  <si>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</si>
  <si>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</si>
  <si>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</si>
  <si>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</si>
  <si>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</si>
  <si>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</si>
  <si>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</si>
  <si>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</si>
  <si>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</si>
  <si>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</si>
  <si>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</si>
  <si>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</si>
  <si>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</si>
  <si>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</si>
  <si>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</si>
  <si>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</si>
  <si>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</si>
  <si>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</si>
  <si>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</si>
  <si>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</si>
  <si>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</si>
  <si>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</si>
  <si>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</si>
  <si>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</si>
  <si>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</si>
  <si>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</si>
  <si>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</si>
  <si>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</si>
  <si>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</si>
  <si>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</si>
  <si>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</si>
  <si>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</si>
  <si>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</si>
  <si>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</si>
  <si>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</si>
  <si>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</si>
  <si>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</si>
  <si>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</si>
  <si>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</si>
  <si>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</si>
  <si>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</si>
  <si>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</si>
  <si>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</si>
  <si>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</si>
  <si>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</si>
  <si>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</si>
  <si>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</si>
  <si>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</si>
  <si>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</si>
  <si>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</si>
  <si>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</si>
  <si>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</si>
  <si>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</si>
  <si>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</si>
  <si>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</si>
  <si>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</si>
  <si>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</si>
  <si>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</si>
  <si>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</si>
  <si>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</si>
  <si>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</si>
  <si>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</si>
  <si>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</si>
  <si>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</si>
  <si>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</si>
  <si>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</si>
  <si>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</si>
  <si>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</si>
  <si>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</si>
  <si>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</si>
  <si>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</si>
  <si>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</si>
  <si>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</si>
  <si>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</si>
  <si>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</si>
  <si>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</si>
  <si>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</si>
  <si>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</si>
  <si>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</si>
  <si>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</si>
  <si>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</si>
  <si>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</si>
  <si>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</si>
  <si>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</si>
  <si>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</si>
  <si>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</si>
  <si>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</si>
  <si>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</si>
  <si>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</si>
  <si>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</si>
  <si>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</si>
  <si>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</si>
  <si>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</si>
  <si>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</si>
  <si>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</si>
  <si>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</si>
  <si>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</si>
  <si>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</si>
  <si>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</si>
  <si>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</si>
  <si>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</si>
  <si>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</si>
  <si>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</si>
  <si>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</si>
  <si>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</si>
  <si>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</si>
  <si>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</si>
  <si>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</si>
  <si>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</si>
  <si>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</si>
  <si>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</si>
  <si>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</si>
  <si>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</si>
  <si>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</si>
  <si>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</si>
  <si>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</si>
  <si>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</si>
  <si>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</si>
  <si>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</si>
  <si>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</si>
  <si>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</si>
  <si>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</si>
  <si>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</si>
  <si>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</si>
  <si>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</si>
  <si>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</si>
  <si>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</si>
  <si>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</si>
  <si>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</si>
  <si>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</si>
  <si>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</si>
  <si>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</si>
  <si>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</si>
  <si>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</si>
  <si>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</si>
  <si>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</si>
  <si>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</si>
  <si>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</si>
  <si>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</si>
  <si>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</si>
  <si>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</si>
  <si>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</si>
  <si>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</si>
  <si>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</si>
  <si>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</si>
  <si>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</si>
  <si>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</si>
  <si>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</si>
  <si>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</si>
  <si>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</si>
  <si>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</si>
  <si>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</si>
  <si>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</si>
  <si>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</si>
  <si>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</si>
  <si>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</si>
  <si>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</si>
  <si>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</si>
  <si>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</si>
  <si>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</si>
  <si>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</si>
  <si>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</si>
  <si>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</si>
  <si>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</si>
  <si>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</si>
  <si>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</si>
  <si>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</si>
  <si>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</si>
  <si>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</si>
  <si>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</si>
  <si>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</si>
  <si>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</si>
  <si>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</si>
  <si>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</si>
  <si>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</si>
  <si>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</si>
  <si>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</si>
  <si>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</si>
  <si>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</si>
  <si>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</si>
  <si>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</si>
  <si>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</si>
  <si>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</si>
  <si>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</si>
  <si>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</si>
  <si>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</si>
  <si>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</si>
  <si>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</si>
  <si>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</si>
  <si>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</si>
  <si>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</si>
  <si>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</si>
  <si>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</si>
  <si>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</si>
  <si>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</si>
  <si>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</si>
  <si>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</si>
  <si>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</si>
  <si>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</si>
  <si>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</si>
  <si>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</si>
  <si>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</si>
  <si>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</si>
  <si>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</si>
  <si>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</si>
  <si>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</si>
  <si>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</si>
  <si>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</si>
  <si>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</si>
  <si>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</si>
  <si>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</si>
  <si>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</si>
  <si>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</si>
  <si>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</si>
  <si>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</si>
  <si>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</si>
  <si>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</si>
  <si>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</si>
  <si>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</si>
  <si>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</si>
  <si>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</si>
  <si>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</si>
  <si>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</si>
  <si>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</si>
  <si>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</si>
  <si>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</si>
  <si>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</si>
  <si>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</si>
  <si>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</si>
  <si>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</si>
  <si>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</si>
  <si>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</si>
  <si>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</si>
  <si>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</si>
  <si>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</si>
  <si>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</si>
  <si>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</si>
  <si>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</si>
  <si>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</si>
  <si>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</si>
  <si>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</si>
  <si>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</si>
  <si>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</si>
  <si>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</si>
  <si>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</si>
  <si>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</si>
  <si>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</si>
  <si>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</si>
  <si>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</si>
  <si>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</si>
  <si>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</si>
  <si>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</si>
  <si>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</si>
  <si>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</si>
  <si>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</si>
  <si>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</si>
  <si>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</si>
  <si>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</si>
  <si>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</si>
  <si>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</si>
  <si>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</si>
  <si>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</si>
  <si>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</si>
  <si>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</si>
  <si>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</si>
  <si>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</si>
  <si>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</si>
  <si>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</si>
  <si>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</si>
  <si>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</si>
  <si>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</si>
  <si>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</si>
  <si>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</si>
  <si>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</si>
  <si>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</si>
  <si>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</si>
  <si>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</si>
  <si>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</si>
  <si>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</si>
  <si>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</si>
  <si>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</si>
  <si>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</si>
  <si>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</si>
  <si>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</si>
  <si>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</si>
  <si>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</si>
  <si>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</si>
  <si>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</si>
  <si>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</si>
  <si>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</si>
  <si>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</si>
  <si>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</si>
  <si>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</si>
  <si>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</si>
  <si>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</si>
  <si>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</si>
  <si>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</si>
  <si>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</si>
  <si>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</si>
  <si>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</si>
  <si>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</si>
  <si>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</si>
  <si>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</si>
  <si>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</si>
  <si>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</si>
  <si>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</si>
  <si>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</si>
  <si>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</si>
  <si>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</si>
  <si>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</si>
  <si>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</si>
  <si>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</si>
  <si>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</si>
  <si>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</si>
  <si>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</si>
  <si>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</si>
  <si>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</si>
  <si>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</si>
  <si>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</si>
  <si>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</si>
  <si>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</si>
  <si>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</si>
  <si>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</si>
  <si>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</si>
  <si>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</si>
  <si>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</si>
  <si>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</si>
  <si>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</si>
  <si>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</si>
  <si>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</si>
  <si>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</si>
  <si>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</si>
  <si>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</si>
  <si>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</si>
  <si>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</si>
  <si>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</si>
  <si>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</si>
  <si>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</si>
  <si>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</si>
  <si>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</si>
  <si>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</si>
  <si>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</si>
  <si>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</si>
  <si>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</si>
  <si>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</si>
  <si>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</si>
  <si>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</si>
  <si>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</si>
  <si>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</si>
  <si>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</si>
  <si>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</si>
  <si>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</si>
  <si>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</si>
  <si>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</si>
  <si>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</si>
  <si>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</si>
  <si>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</si>
  <si>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</si>
  <si>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</si>
  <si>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</si>
  <si>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</si>
  <si>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</si>
  <si>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</si>
  <si>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</si>
  <si>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</si>
  <si>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</si>
  <si>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</si>
  <si>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</si>
  <si>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</si>
  <si>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</si>
  <si>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</si>
  <si>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</si>
  <si>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</si>
  <si>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</si>
  <si>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</si>
  <si>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</si>
  <si>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</si>
  <si>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</si>
  <si>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</si>
  <si>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</si>
  <si>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</si>
  <si>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</si>
  <si>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</si>
  <si>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</si>
  <si>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</si>
  <si>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</si>
  <si>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</si>
  <si>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</si>
  <si>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</si>
  <si>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</si>
  <si>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</si>
  <si>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</si>
  <si>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</si>
  <si>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</si>
  <si>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</si>
  <si>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</si>
  <si>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</si>
  <si>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</si>
  <si>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</si>
  <si>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</si>
  <si>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</si>
  <si>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</si>
  <si>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</si>
  <si>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</si>
  <si>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</si>
  <si>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</si>
  <si>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</si>
  <si>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</si>
  <si>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</si>
  <si>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</si>
  <si>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</si>
  <si>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</si>
  <si>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</si>
  <si>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</si>
  <si>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</si>
  <si>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</si>
  <si>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</si>
  <si>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</si>
  <si>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</si>
  <si>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</si>
  <si>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</si>
  <si>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</si>
  <si>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</si>
  <si>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</si>
  <si>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</si>
  <si>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</si>
  <si>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</si>
  <si>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</si>
  <si>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</si>
  <si>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</si>
  <si>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</si>
  <si>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</si>
  <si>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</si>
  <si>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</si>
  <si>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</si>
  <si>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</si>
  <si>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</si>
  <si>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</si>
  <si>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</si>
  <si>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</si>
  <si>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</si>
  <si>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</si>
  <si>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</si>
  <si>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</si>
  <si>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</si>
  <si>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</si>
  <si>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</si>
  <si>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</si>
  <si>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</si>
  <si>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</si>
  <si>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</si>
  <si>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</si>
  <si>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</si>
  <si>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</si>
  <si>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</si>
  <si>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</si>
  <si>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</si>
  <si>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</si>
  <si>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</si>
  <si>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</si>
  <si>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</si>
  <si>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</si>
  <si>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</si>
  <si>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</si>
  <si>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</si>
  <si>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</si>
  <si>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</si>
  <si>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</si>
  <si>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</si>
  <si>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</si>
  <si>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</si>
  <si>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</si>
  <si>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</si>
  <si>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</si>
  <si>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</si>
  <si>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</si>
  <si>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</si>
  <si>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</si>
  <si>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</si>
  <si>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</si>
  <si>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</si>
  <si>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</si>
  <si>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</si>
  <si>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</si>
  <si>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</si>
  <si>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</si>
  <si>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</si>
  <si>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</si>
  <si>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</si>
  <si>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</si>
  <si>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</si>
  <si>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</si>
  <si>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</si>
  <si>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</si>
  <si>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</si>
  <si>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</si>
  <si>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</si>
  <si>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</si>
  <si>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</si>
  <si>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</si>
  <si>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</si>
  <si>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</si>
  <si>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</si>
  <si>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</si>
  <si>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</si>
  <si>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</si>
  <si>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</si>
  <si>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</si>
  <si>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</si>
  <si>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</si>
  <si>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</si>
  <si>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</si>
  <si>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</si>
  <si>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</si>
  <si>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</si>
  <si>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</si>
  <si>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</si>
  <si>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</si>
  <si>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</si>
  <si>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</si>
  <si>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</si>
  <si>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</si>
  <si>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</si>
  <si>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</si>
  <si>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</si>
  <si>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</si>
  <si>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</si>
  <si>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</si>
  <si>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</si>
  <si>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</si>
  <si>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</si>
  <si>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</si>
  <si>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</si>
  <si>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</si>
  <si>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</si>
  <si>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</si>
  <si>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</si>
  <si>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</si>
  <si>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</si>
  <si>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</si>
  <si>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</si>
  <si>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</si>
  <si>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</si>
  <si>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</si>
  <si>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</si>
  <si>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</si>
  <si>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</si>
  <si>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</si>
  <si>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</si>
  <si>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</si>
  <si>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</si>
  <si>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</si>
  <si>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</si>
  <si>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</si>
  <si>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</si>
  <si>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</si>
  <si>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</si>
  <si>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</si>
  <si>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</si>
  <si>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</si>
  <si>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</si>
  <si>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</si>
  <si>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</si>
  <si>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</si>
  <si>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</si>
  <si>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</si>
  <si>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</si>
  <si>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</si>
  <si>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</si>
  <si>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</si>
  <si>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</si>
  <si>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</si>
  <si>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</si>
  <si>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</si>
  <si>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</si>
  <si>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</si>
  <si>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</si>
  <si>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</si>
  <si>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</si>
  <si>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</si>
  <si>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</si>
  <si>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</si>
  <si>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</si>
  <si>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</si>
  <si>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</si>
  <si>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</si>
  <si>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</si>
  <si>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</si>
  <si>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</si>
  <si>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</si>
  <si>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</si>
  <si>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</si>
  <si>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</si>
  <si>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</si>
  <si>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</si>
  <si>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</si>
  <si>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</si>
  <si>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</si>
  <si>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</si>
  <si>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</si>
  <si>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</si>
  <si>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</si>
  <si>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</si>
  <si>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</si>
  <si>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</si>
  <si>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</si>
  <si>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</si>
  <si>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</si>
  <si>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</si>
  <si>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</si>
  <si>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</si>
  <si>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</si>
  <si>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</si>
  <si>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</si>
  <si>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</si>
  <si>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</si>
  <si>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</si>
  <si>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</si>
  <si>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</si>
  <si>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</si>
  <si>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</si>
  <si>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</si>
  <si>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</si>
  <si>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</si>
  <si>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</si>
  <si>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</si>
  <si>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</si>
  <si>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</si>
  <si>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</si>
  <si>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</si>
  <si>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</si>
  <si>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</si>
  <si>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</si>
  <si>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</si>
  <si>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</si>
  <si>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</si>
  <si>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</si>
  <si>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</si>
  <si>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</si>
  <si>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</si>
  <si>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</si>
  <si>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</si>
  <si>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</si>
  <si>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</si>
  <si>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</si>
  <si>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</si>
  <si>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</si>
  <si>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</si>
  <si>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</si>
  <si>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</si>
  <si>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</si>
  <si>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</si>
  <si>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</si>
  <si>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</si>
  <si>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</si>
  <si>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</si>
  <si>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</si>
  <si>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</si>
  <si>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</si>
  <si>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</si>
  <si>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</si>
  <si>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</si>
  <si>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</si>
  <si>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</si>
  <si>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</si>
  <si>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</si>
  <si>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</si>
  <si>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</si>
  <si>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</si>
  <si>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</si>
  <si>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</si>
  <si>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</si>
  <si>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</si>
  <si>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</si>
  <si>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</si>
  <si>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</si>
  <si>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</si>
  <si>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</si>
  <si>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</si>
  <si>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</si>
  <si>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</si>
  <si>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</si>
  <si>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</si>
  <si>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</si>
  <si>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</si>
  <si>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</si>
  <si>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</si>
  <si>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</si>
  <si>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</si>
  <si>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</si>
  <si>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</si>
  <si>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</si>
  <si>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</si>
  <si>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</si>
  <si>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</si>
  <si>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</si>
  <si>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</si>
  <si>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</si>
  <si>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</si>
  <si>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</si>
  <si>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</si>
  <si>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</si>
  <si>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</si>
  <si>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</si>
  <si>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</si>
  <si>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</si>
  <si>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</si>
  <si>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</si>
  <si>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</si>
  <si>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</si>
  <si>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</si>
  <si>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</si>
  <si>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</si>
  <si>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</si>
  <si>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</si>
  <si>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</si>
  <si>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</si>
  <si>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</si>
  <si>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</si>
  <si>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</si>
  <si>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</si>
  <si>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</si>
  <si>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</si>
  <si>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</si>
  <si>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</si>
  <si>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</si>
  <si>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</si>
  <si>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</si>
  <si>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</si>
  <si>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</si>
  <si>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</si>
  <si>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</si>
  <si>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</si>
  <si>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</si>
  <si>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</si>
  <si>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</si>
  <si>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</si>
  <si>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</si>
  <si>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</si>
  <si>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</si>
  <si>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</si>
  <si>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</si>
  <si>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</si>
  <si>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</si>
  <si>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</si>
  <si>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</si>
  <si>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</si>
  <si>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</si>
  <si>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</si>
  <si>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</si>
  <si>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</si>
  <si>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</si>
  <si>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</si>
  <si>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</si>
  <si>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</si>
  <si>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</si>
  <si>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</si>
  <si>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</si>
  <si>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</si>
  <si>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</si>
  <si>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</si>
  <si>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</si>
  <si>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</si>
  <si>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</si>
  <si>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</si>
  <si>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</si>
  <si>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</si>
  <si>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</si>
  <si>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</si>
  <si>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</si>
  <si>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</si>
  <si>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</si>
  <si>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</si>
  <si>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</si>
  <si>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</si>
  <si>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</si>
  <si>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</si>
  <si>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</si>
  <si>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</si>
  <si>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</si>
  <si>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</si>
  <si>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</si>
  <si>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</si>
  <si>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</si>
  <si>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</si>
  <si>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</si>
  <si>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</si>
  <si>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</si>
  <si>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</si>
  <si>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</si>
  <si>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</si>
  <si>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</si>
  <si>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</si>
  <si>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</si>
  <si>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</si>
  <si>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</si>
  <si>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</si>
  <si>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</si>
  <si>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</si>
  <si>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</si>
  <si>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</si>
  <si>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</si>
  <si>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</si>
  <si>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</si>
  <si>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</si>
  <si>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</si>
  <si>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</si>
  <si>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</si>
  <si>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</si>
  <si>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</si>
  <si>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</si>
  <si>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</si>
  <si>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</si>
  <si>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</si>
  <si>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</si>
  <si>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</si>
  <si>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</si>
  <si>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</si>
  <si>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</si>
  <si>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</si>
  <si>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</si>
  <si>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</si>
  <si>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</si>
  <si>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</si>
  <si>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</si>
  <si>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</si>
  <si>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</si>
  <si>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</si>
  <si>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</si>
  <si>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</si>
  <si>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</si>
  <si>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</si>
  <si>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</si>
  <si>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</si>
  <si>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</si>
  <si>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</si>
  <si>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</si>
  <si>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</si>
  <si>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</si>
  <si>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</si>
  <si>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</si>
  <si>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</si>
  <si>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</si>
  <si>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</si>
  <si>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</si>
  <si>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</si>
  <si>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</si>
  <si>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</si>
  <si>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</si>
  <si>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</si>
  <si>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</si>
  <si>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</si>
  <si>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</si>
  <si>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</si>
  <si>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</si>
  <si>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</si>
  <si>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</si>
  <si>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</si>
  <si>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</si>
  <si>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</si>
  <si>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</si>
  <si>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</si>
  <si>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</si>
  <si>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</si>
  <si>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</si>
  <si>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</si>
  <si>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</si>
  <si>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</si>
  <si>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</si>
  <si>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</si>
  <si>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</si>
  <si>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</si>
  <si>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</si>
  <si>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</si>
  <si>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</si>
  <si>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</si>
  <si>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</si>
  <si>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</si>
  <si>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</si>
  <si>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</si>
  <si>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</si>
  <si>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</si>
  <si>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</si>
  <si>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</si>
  <si>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</si>
  <si>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</si>
  <si>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</si>
  <si>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</si>
  <si>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</si>
  <si>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</si>
  <si>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</si>
  <si>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</si>
  <si>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</si>
  <si>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</si>
  <si>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</si>
  <si>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</si>
  <si>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</si>
  <si>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</si>
  <si>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</si>
  <si>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</si>
  <si>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</si>
  <si>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</si>
  <si>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</si>
  <si>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</si>
  <si>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</si>
  <si>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</si>
  <si>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</si>
  <si>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</si>
  <si>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</si>
  <si>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</si>
  <si>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</si>
  <si>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</si>
  <si>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</si>
  <si>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</si>
  <si>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</si>
  <si>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</si>
  <si>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</si>
  <si>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</si>
  <si>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</si>
  <si>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</si>
  <si>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</si>
  <si>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</si>
  <si>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</si>
  <si>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</si>
  <si>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</si>
  <si>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</si>
  <si>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</si>
  <si>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</si>
  <si>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</si>
  <si>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</si>
  <si>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</si>
  <si>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</si>
  <si>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</si>
  <si>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</si>
  <si>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</si>
  <si>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</si>
  <si>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</si>
  <si>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</si>
  <si>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</si>
  <si>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</si>
  <si>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</si>
  <si>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</si>
  <si>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</si>
  <si>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</si>
  <si>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</si>
  <si>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</si>
  <si>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</si>
  <si>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</si>
  <si>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</si>
  <si>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</si>
  <si>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</si>
  <si>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</si>
  <si>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</si>
  <si>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</si>
  <si>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</si>
  <si>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</si>
  <si>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</si>
  <si>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</si>
  <si>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</si>
  <si>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</si>
  <si>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</si>
  <si>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</si>
  <si>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</si>
  <si>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</si>
  <si>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</si>
  <si>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</si>
  <si>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</si>
  <si>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</si>
  <si>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</si>
  <si>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</si>
  <si>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</si>
  <si>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</si>
  <si>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</si>
  <si>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</si>
  <si>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</si>
  <si>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</si>
  <si>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</si>
  <si>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</si>
  <si>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</si>
  <si>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</si>
  <si>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</si>
  <si>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</si>
  <si>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</si>
  <si>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</si>
  <si>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</si>
  <si>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</si>
  <si>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</si>
  <si>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</si>
  <si>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</si>
  <si>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</si>
  <si>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</si>
  <si>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</si>
  <si>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</si>
  <si>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</si>
  <si>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</si>
  <si>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</si>
  <si>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</si>
  <si>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</si>
  <si>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</si>
  <si>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</si>
  <si>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</si>
  <si>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</si>
  <si>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</si>
  <si>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</si>
  <si>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</si>
  <si>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</si>
  <si>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</si>
  <si>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</si>
  <si>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</si>
  <si>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</si>
  <si>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</si>
  <si>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</si>
  <si>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</si>
  <si>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</si>
  <si>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</si>
  <si>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</si>
  <si>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</si>
  <si>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</si>
  <si>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</si>
  <si>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</si>
  <si>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</si>
  <si>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</si>
  <si>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</si>
  <si>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</si>
  <si>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</si>
  <si>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</si>
  <si>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</si>
  <si>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</si>
  <si>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</si>
  <si>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</si>
  <si>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</si>
  <si>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</si>
  <si>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</si>
  <si>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</si>
  <si>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</si>
  <si>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</si>
  <si>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</si>
  <si>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</si>
  <si>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</si>
  <si>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</si>
  <si>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</si>
  <si>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</si>
  <si>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</si>
  <si>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</si>
  <si>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</si>
  <si>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</si>
  <si>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</si>
  <si>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</si>
  <si>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</si>
  <si>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</si>
  <si>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</si>
  <si>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</si>
  <si>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</si>
  <si>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</si>
  <si>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</si>
  <si>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</si>
  <si>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</si>
  <si>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</si>
  <si>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</si>
  <si>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</si>
  <si>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</si>
  <si>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</si>
  <si>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</si>
  <si>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</si>
  <si>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</si>
  <si>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</si>
  <si>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</si>
  <si>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</si>
  <si>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</si>
  <si>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</si>
  <si>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</si>
  <si>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</si>
  <si>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</si>
  <si>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</si>
  <si>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</si>
  <si>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</si>
  <si>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</si>
  <si>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</si>
  <si>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</si>
  <si>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</si>
  <si>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</si>
  <si>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</si>
  <si>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</si>
  <si>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</si>
  <si>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</si>
  <si>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</si>
  <si>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</si>
  <si>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</si>
  <si>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</si>
  <si>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</si>
  <si>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</si>
  <si>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</si>
  <si>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</si>
  <si>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</si>
  <si>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</si>
  <si>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</si>
  <si>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</si>
  <si>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</si>
  <si>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</si>
  <si>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</si>
  <si>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</si>
  <si>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</si>
  <si>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</si>
  <si>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</si>
  <si>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</si>
  <si>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</si>
  <si>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</si>
  <si>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</si>
  <si>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</si>
  <si>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</si>
  <si>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</si>
  <si>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</si>
  <si>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</si>
  <si>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</si>
  <si>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</si>
  <si>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</si>
  <si>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</si>
  <si>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</si>
  <si>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</si>
  <si>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</si>
  <si>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</si>
  <si>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</si>
  <si>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</si>
  <si>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</si>
  <si>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</si>
  <si>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</si>
  <si>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</si>
  <si>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</si>
  <si>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</si>
  <si>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</si>
  <si>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</si>
  <si>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</si>
  <si>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</si>
  <si>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</si>
  <si>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</si>
  <si>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</si>
  <si>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</si>
  <si>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</si>
  <si>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</si>
  <si>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</si>
  <si>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</si>
  <si>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</si>
  <si>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</si>
  <si>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</si>
  <si>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</si>
  <si>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</si>
  <si>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</si>
  <si>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</si>
  <si>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</si>
  <si>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</si>
  <si>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</si>
  <si>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</si>
  <si>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</si>
  <si>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</si>
  <si>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</si>
  <si>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</si>
  <si>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</si>
  <si>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</si>
  <si>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</si>
  <si>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</si>
  <si>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</si>
  <si>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</si>
  <si>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</si>
  <si>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</si>
  <si>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</si>
  <si>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</si>
  <si>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</si>
  <si>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</si>
  <si>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</si>
  <si>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</si>
  <si>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</si>
  <si>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</si>
  <si>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</si>
  <si>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</si>
  <si>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</si>
  <si>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</si>
  <si>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</si>
  <si>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</si>
  <si>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</si>
  <si>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</si>
  <si>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</si>
  <si>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</si>
  <si>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</si>
  <si>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</si>
  <si>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</si>
  <si>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</si>
  <si>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</si>
  <si>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</si>
  <si>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</si>
  <si>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</si>
  <si>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</si>
  <si>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</si>
  <si>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</si>
  <si>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</si>
  <si>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</si>
  <si>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</si>
  <si>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</si>
  <si>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</si>
  <si>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</si>
  <si>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</si>
  <si>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</si>
  <si>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</si>
  <si>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</si>
  <si>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</si>
  <si>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</si>
  <si>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</si>
  <si>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</si>
  <si>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</si>
  <si>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</si>
  <si>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</si>
  <si>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</si>
  <si>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</si>
  <si>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</si>
  <si>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</si>
  <si>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</si>
  <si>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</si>
  <si>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</si>
  <si>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</si>
  <si>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</si>
  <si>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</si>
  <si>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</si>
  <si>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</si>
  <si>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</si>
  <si>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</si>
  <si>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</si>
  <si>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</si>
  <si>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</si>
  <si>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</si>
  <si>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</si>
  <si>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</si>
  <si>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</si>
  <si>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</si>
  <si>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</si>
  <si>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</si>
  <si>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</si>
  <si>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</si>
  <si>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</si>
  <si>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</si>
  <si>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</si>
  <si>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</si>
  <si>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</si>
  <si>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</si>
  <si>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</si>
  <si>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</si>
  <si>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</si>
  <si>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</si>
  <si>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</si>
  <si>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</si>
  <si>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</si>
  <si>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</si>
  <si>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</si>
  <si>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</si>
  <si>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</si>
  <si>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</si>
  <si>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</si>
  <si>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</si>
  <si>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</si>
  <si>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</si>
  <si>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</si>
  <si>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</si>
  <si>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</si>
  <si>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</si>
  <si>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</si>
  <si>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</si>
  <si>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</si>
  <si>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</si>
  <si>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</si>
  <si>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</si>
  <si>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</si>
  <si>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</si>
  <si>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</si>
  <si>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</si>
  <si>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</si>
  <si>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</si>
  <si>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</si>
  <si>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</si>
  <si>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</si>
  <si>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</si>
  <si>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</si>
  <si>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</si>
  <si>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</si>
  <si>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</si>
  <si>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</si>
  <si>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</si>
  <si>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</si>
  <si>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</si>
  <si>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</si>
  <si>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</si>
  <si>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</si>
  <si>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</si>
  <si>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</si>
  <si>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</si>
  <si>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</si>
  <si>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</si>
  <si>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</si>
  <si>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</si>
  <si>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</si>
  <si>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</si>
  <si>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</si>
  <si>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</si>
  <si>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</si>
  <si>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</si>
  <si>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</si>
  <si>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</si>
  <si>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</si>
  <si>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</si>
  <si>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</si>
  <si>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</si>
  <si>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</si>
  <si>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</si>
  <si>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</si>
  <si>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</si>
  <si>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</si>
  <si>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</si>
  <si>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</si>
  <si>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</si>
  <si>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</si>
  <si>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</si>
  <si>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</si>
  <si>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</si>
  <si>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</si>
  <si>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</si>
  <si>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</si>
  <si>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</si>
  <si>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</si>
  <si>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</si>
  <si>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</si>
  <si>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</si>
  <si>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</si>
  <si>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</si>
  <si>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</si>
  <si>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</si>
  <si>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</si>
  <si>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</si>
  <si>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</si>
  <si>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</si>
  <si>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</si>
  <si>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</si>
  <si>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</si>
  <si>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</si>
  <si>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</si>
  <si>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</si>
  <si>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</si>
  <si>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</si>
  <si>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</si>
  <si>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</si>
  <si>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</si>
  <si>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</si>
  <si>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</si>
  <si>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</si>
  <si>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</si>
  <si>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</si>
  <si>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</si>
  <si>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</si>
  <si>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</si>
  <si>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</si>
  <si>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</si>
  <si>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</si>
  <si>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</si>
  <si>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</si>
  <si>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</si>
  <si>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</si>
  <si>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</si>
  <si>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</si>
  <si>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</si>
  <si>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</si>
  <si>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</si>
  <si>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</si>
  <si>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</si>
  <si>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</si>
  <si>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</si>
  <si>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</si>
  <si>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</si>
  <si>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</si>
  <si>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</si>
  <si>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</si>
  <si>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</si>
  <si>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</si>
  <si>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</si>
  <si>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</si>
  <si>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</si>
  <si>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</si>
  <si>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</si>
  <si>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</si>
  <si>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</si>
  <si>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</si>
  <si>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</si>
  <si>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</si>
  <si>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</si>
  <si>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</si>
  <si>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</si>
  <si>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</si>
  <si>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</si>
  <si>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</si>
  <si>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</si>
  <si>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</si>
  <si>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</si>
  <si>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</si>
  <si>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</si>
  <si>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</si>
  <si>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</si>
  <si>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</si>
  <si>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</si>
  <si>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</si>
  <si>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</si>
  <si>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</si>
  <si>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</si>
  <si>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</si>
  <si>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</si>
  <si>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</si>
  <si>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</si>
  <si>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</si>
  <si>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</si>
  <si>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</si>
  <si>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</si>
  <si>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</si>
  <si>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</si>
  <si>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</si>
  <si>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</si>
  <si>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</si>
  <si>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</si>
  <si>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</si>
  <si>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</si>
  <si>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</si>
  <si>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</si>
  <si>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</si>
  <si>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</si>
  <si>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</si>
  <si>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</si>
  <si>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</si>
  <si>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</si>
  <si>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</si>
  <si>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</si>
  <si>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</si>
  <si>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</si>
  <si>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</si>
  <si>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</si>
  <si>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</si>
  <si>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</si>
  <si>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</si>
  <si>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</si>
  <si>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</si>
  <si>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</si>
  <si>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</si>
  <si>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</si>
  <si>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</si>
  <si>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</si>
  <si>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</si>
  <si>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</si>
  <si>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</si>
  <si>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</si>
  <si>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</si>
  <si>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</si>
  <si>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</si>
  <si>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</si>
  <si>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</si>
  <si>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</si>
  <si>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</si>
  <si>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</si>
  <si>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</si>
  <si>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</si>
  <si>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</si>
  <si>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</si>
  <si>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</si>
  <si>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</si>
  <si>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</si>
  <si>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</si>
  <si>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</si>
  <si>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</si>
  <si>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</si>
  <si>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</si>
  <si>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</si>
  <si>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</si>
  <si>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</si>
  <si>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</si>
  <si>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</si>
  <si>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</si>
  <si>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</si>
  <si>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</si>
  <si>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</si>
  <si>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</si>
  <si>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</si>
  <si>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</si>
  <si>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</si>
  <si>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</si>
  <si>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</si>
  <si>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</si>
  <si>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</si>
  <si>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</si>
  <si>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</si>
  <si>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</si>
  <si>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</si>
  <si>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</si>
  <si>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</si>
  <si>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</si>
  <si>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</si>
  <si>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</si>
  <si>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</si>
  <si>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</si>
  <si>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</si>
  <si>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</si>
  <si>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</si>
  <si>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</si>
  <si>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</si>
  <si>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</si>
  <si>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</si>
  <si>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</si>
  <si>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</si>
  <si>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</si>
  <si>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</si>
  <si>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</si>
  <si>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</si>
  <si>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</si>
  <si>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</si>
  <si>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</si>
  <si>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</si>
  <si>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</si>
  <si>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</si>
  <si>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</si>
  <si>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</si>
  <si>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</si>
  <si>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</si>
  <si>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</si>
  <si>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</si>
  <si>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</si>
  <si>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</si>
  <si>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</si>
  <si>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</si>
  <si>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</si>
  <si>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</si>
  <si>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</si>
  <si>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</si>
  <si>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</si>
  <si>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</si>
  <si>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</si>
  <si>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</si>
  <si>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</si>
  <si>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</si>
  <si>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</si>
  <si>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</si>
  <si>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</si>
  <si>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</si>
  <si>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</si>
  <si>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</si>
  <si>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</si>
  <si>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</si>
  <si>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</si>
  <si>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</si>
  <si>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</si>
  <si>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</si>
  <si>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</si>
  <si>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</si>
  <si>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</si>
  <si>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</si>
  <si>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</si>
  <si>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</si>
  <si>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</si>
  <si>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</si>
  <si>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</si>
  <si>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</si>
  <si>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</si>
  <si>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</si>
  <si>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</si>
  <si>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</si>
  <si>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</si>
  <si>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</si>
  <si>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</si>
  <si>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</si>
  <si>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</si>
  <si>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</si>
  <si>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</si>
  <si>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</si>
  <si>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</si>
  <si>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</si>
  <si>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</si>
  <si>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</si>
  <si>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</si>
  <si>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</si>
  <si>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</si>
  <si>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</si>
  <si>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</si>
  <si>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</si>
  <si>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</si>
  <si>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</si>
  <si>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</si>
  <si>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</si>
  <si>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</si>
  <si>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</si>
  <si>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</si>
  <si>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</si>
  <si>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</si>
  <si>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</si>
  <si>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</si>
  <si>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</si>
  <si>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</si>
  <si>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</si>
  <si>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</si>
  <si>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</si>
  <si>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</si>
  <si>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</si>
  <si>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</si>
  <si>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</si>
  <si>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</si>
  <si>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</si>
  <si>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</si>
  <si>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</si>
  <si>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</si>
  <si>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</si>
  <si>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</si>
  <si>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</si>
  <si>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</si>
  <si>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</si>
  <si>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</si>
  <si>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</si>
  <si>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</si>
  <si>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</si>
  <si>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</si>
  <si>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</si>
  <si>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</si>
  <si>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</si>
  <si>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</si>
  <si>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</si>
  <si>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</si>
  <si>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</si>
  <si>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</si>
  <si>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</si>
  <si>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</si>
  <si>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</si>
  <si>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</si>
  <si>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</si>
  <si>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</si>
  <si>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</si>
  <si>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</si>
  <si>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</si>
  <si>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</si>
  <si>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</si>
  <si>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</si>
  <si>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</si>
  <si>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</si>
  <si>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</si>
  <si>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</si>
  <si>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</si>
  <si>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</si>
  <si>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</si>
  <si>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</si>
  <si>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</si>
  <si>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</si>
  <si>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</si>
  <si>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</si>
  <si>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</si>
  <si>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</si>
  <si>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</si>
  <si>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</si>
  <si>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</si>
  <si>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</si>
  <si>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</si>
  <si>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</si>
  <si>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</si>
  <si>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</si>
  <si>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</si>
  <si>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</si>
  <si>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</si>
  <si>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</si>
  <si>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</si>
  <si>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</si>
  <si>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</si>
  <si>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</si>
  <si>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</si>
  <si>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</si>
  <si>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</si>
  <si>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</si>
  <si>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</si>
  <si>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</si>
  <si>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</si>
  <si>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</si>
  <si>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</si>
  <si>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</si>
  <si>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</si>
  <si>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</si>
  <si>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</si>
  <si>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</si>
  <si>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</si>
  <si>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</si>
  <si>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</si>
  <si>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</si>
  <si>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</si>
  <si>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</si>
  <si>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</si>
  <si>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</si>
  <si>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</si>
  <si>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</si>
  <si>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</si>
  <si>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</si>
  <si>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</si>
  <si>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</si>
  <si>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</si>
  <si>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</si>
  <si>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</si>
  <si>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</si>
  <si>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</si>
  <si>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</si>
  <si>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</si>
  <si>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</si>
  <si>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</si>
  <si>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</si>
  <si>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</si>
  <si>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</si>
  <si>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</si>
  <si>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</si>
  <si>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</si>
  <si>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</si>
  <si>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</si>
  <si>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</si>
  <si>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</si>
  <si>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</si>
  <si>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</si>
  <si>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</si>
  <si>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</si>
  <si>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</si>
  <si>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</si>
  <si>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</si>
  <si>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</si>
  <si>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</si>
  <si>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</si>
  <si>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</si>
  <si>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</si>
  <si>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</si>
  <si>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</si>
  <si>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</si>
  <si>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</si>
  <si>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</si>
  <si>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</si>
  <si>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</si>
  <si>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</si>
  <si>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</si>
  <si>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</si>
  <si>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</si>
  <si>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</si>
  <si>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</si>
  <si>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</si>
  <si>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</si>
  <si>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</si>
  <si>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</si>
  <si>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</si>
  <si>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</si>
  <si>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</si>
  <si>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</si>
  <si>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</si>
  <si>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</si>
  <si>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</si>
  <si>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</si>
  <si>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</si>
  <si>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</si>
  <si>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</si>
  <si>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</si>
  <si>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</si>
  <si>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</si>
  <si>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</si>
  <si>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</si>
  <si>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</si>
  <si>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</si>
  <si>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</si>
  <si>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</si>
  <si>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</si>
  <si>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</si>
  <si>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</si>
  <si>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</si>
  <si>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</si>
  <si>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</si>
  <si>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</si>
  <si>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</si>
  <si>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</si>
  <si>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</si>
  <si>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</si>
  <si>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</si>
  <si>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</si>
  <si>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</si>
  <si>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</si>
  <si>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</si>
  <si>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</si>
  <si>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</si>
  <si>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</si>
  <si>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</si>
  <si>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</si>
  <si>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</si>
  <si>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</si>
  <si>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</si>
  <si>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</si>
  <si>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</si>
  <si>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</si>
  <si>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</si>
  <si>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</si>
  <si>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</si>
  <si>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</si>
  <si>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</si>
  <si>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</si>
  <si>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</si>
  <si>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</si>
  <si>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</si>
  <si>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</si>
  <si>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</si>
  <si>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</si>
  <si>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</si>
  <si>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</si>
  <si>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</si>
  <si>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</si>
  <si>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</si>
  <si>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</si>
  <si>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</si>
  <si>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</si>
  <si>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</si>
  <si>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</si>
  <si>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</si>
  <si>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</si>
  <si>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</si>
  <si>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</si>
  <si>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</si>
  <si>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</si>
  <si>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</si>
  <si>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</si>
  <si>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</si>
  <si>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</si>
  <si>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</si>
  <si>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</si>
  <si>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</si>
  <si>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</si>
  <si>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</si>
  <si>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</si>
  <si>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</si>
  <si>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</si>
  <si>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</si>
  <si>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</si>
  <si>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</si>
  <si>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</si>
  <si>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</si>
  <si>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</si>
  <si>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</si>
  <si>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</si>
  <si>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</si>
  <si>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</si>
  <si>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</si>
  <si>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</si>
  <si>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</si>
  <si>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</si>
  <si>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</si>
  <si>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</si>
  <si>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</si>
  <si>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</si>
  <si>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</si>
  <si>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</si>
  <si>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</si>
  <si>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</si>
  <si>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</si>
  <si>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</si>
  <si>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</si>
  <si>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</si>
  <si>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</si>
  <si>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</si>
  <si>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</si>
  <si>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</si>
  <si>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</si>
  <si>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</si>
  <si>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</si>
  <si>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</si>
  <si>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</si>
  <si>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</si>
  <si>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</si>
  <si>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</si>
  <si>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</si>
  <si>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</si>
  <si>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</si>
  <si>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</si>
  <si>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</si>
  <si>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</si>
  <si>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</si>
  <si>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</si>
  <si>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</si>
  <si>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</si>
  <si>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</si>
  <si>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</si>
  <si>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</si>
  <si>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</si>
  <si>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</si>
  <si>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</si>
  <si>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</si>
  <si>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</si>
  <si>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</si>
  <si>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</si>
  <si>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</si>
  <si>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</si>
  <si>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</si>
  <si>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</si>
  <si>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</si>
  <si>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</si>
  <si>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</si>
  <si>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</si>
  <si>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</si>
  <si>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</si>
  <si>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</si>
  <si>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</si>
  <si>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</si>
  <si>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</si>
  <si>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</si>
  <si>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</si>
  <si>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</si>
  <si>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</si>
  <si>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</si>
  <si>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</si>
  <si>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</si>
  <si>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</si>
  <si>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</si>
  <si>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</si>
  <si>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</si>
  <si>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</si>
  <si>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</si>
  <si>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</si>
  <si>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</si>
  <si>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</si>
  <si>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</si>
  <si>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</si>
  <si>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</si>
  <si>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</si>
  <si>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</si>
  <si>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</si>
  <si>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</si>
  <si>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</si>
  <si>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</si>
  <si>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</si>
  <si>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</si>
  <si>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</si>
  <si>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</si>
  <si>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</si>
  <si>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</si>
  <si>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</si>
  <si>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</si>
  <si>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</si>
  <si>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</si>
  <si>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</si>
  <si>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</si>
  <si>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</si>
  <si>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</si>
  <si>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</si>
  <si>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</si>
  <si>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</si>
  <si>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</si>
  <si>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</si>
  <si>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</si>
  <si>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</si>
  <si>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</si>
  <si>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</si>
  <si>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</si>
  <si>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</si>
  <si>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</si>
  <si>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</si>
  <si>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</si>
  <si>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</si>
  <si>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</si>
  <si>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</si>
  <si>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</si>
  <si>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</si>
  <si>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</si>
  <si>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</si>
  <si>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</si>
  <si>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</si>
  <si>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</si>
  <si>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</si>
  <si>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</si>
  <si>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</si>
  <si>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</si>
  <si>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</si>
  <si>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</si>
  <si>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</si>
  <si>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</si>
  <si>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</si>
  <si>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</si>
  <si>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</si>
  <si>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</si>
  <si>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</si>
  <si>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</si>
  <si>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</si>
  <si>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</si>
  <si>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</si>
  <si>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</si>
  <si>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</si>
  <si>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</si>
  <si>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</si>
  <si>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</si>
  <si>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</si>
  <si>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</si>
  <si>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</si>
  <si>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</si>
  <si>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</si>
  <si>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</si>
  <si>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</si>
  <si>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</si>
  <si>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</si>
  <si>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</si>
  <si>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</si>
  <si>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</si>
  <si>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</si>
  <si>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</si>
  <si>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</si>
  <si>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</si>
  <si>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</si>
  <si>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</si>
  <si>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</si>
  <si>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</si>
  <si>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</si>
  <si>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</si>
  <si>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</si>
  <si>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</si>
  <si>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</si>
  <si>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</si>
  <si>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</si>
  <si>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</si>
  <si>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</si>
  <si>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</si>
  <si>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</si>
  <si>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</si>
  <si>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</si>
  <si>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</si>
  <si>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</si>
  <si>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</si>
  <si>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</si>
  <si>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</si>
  <si>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</si>
  <si>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</si>
  <si>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</si>
  <si>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</si>
  <si>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</si>
  <si>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</si>
  <si>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</si>
  <si>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</si>
  <si>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</si>
  <si>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</si>
  <si>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</si>
  <si>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</si>
  <si>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</si>
  <si>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</si>
  <si>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</si>
  <si>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</si>
  <si>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</si>
  <si>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</si>
  <si>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</si>
  <si>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</si>
  <si>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</si>
  <si>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</si>
  <si>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</si>
  <si>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</si>
  <si>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</si>
  <si>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</si>
  <si>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</si>
  <si>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</si>
  <si>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</si>
  <si>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</si>
  <si>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</si>
  <si>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</si>
  <si>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</si>
  <si>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</si>
  <si>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</si>
  <si>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</si>
  <si>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</si>
  <si>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</si>
  <si>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</si>
  <si>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</si>
  <si>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</si>
  <si>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</si>
  <si>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</si>
  <si>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</si>
  <si>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</si>
  <si>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</si>
  <si>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</si>
  <si>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</si>
  <si>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</si>
  <si>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</si>
  <si>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</si>
  <si>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</si>
  <si>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</si>
  <si>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</si>
  <si>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</si>
  <si>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</si>
  <si>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</si>
  <si>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</si>
  <si>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</si>
  <si>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</si>
  <si>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</si>
  <si>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</si>
  <si>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</si>
  <si>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</si>
  <si>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</si>
  <si>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</si>
  <si>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</si>
  <si>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</si>
  <si>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</si>
  <si>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</si>
  <si>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</si>
  <si>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</si>
  <si>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</si>
  <si>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</si>
  <si>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</si>
  <si>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</si>
  <si>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</si>
  <si>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</si>
  <si>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</si>
  <si>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</si>
  <si>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</si>
  <si>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</si>
  <si>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</si>
  <si>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</si>
  <si>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</si>
  <si>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</si>
  <si>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</si>
  <si>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</si>
  <si>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</si>
  <si>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</si>
  <si>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</si>
  <si>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</si>
  <si>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</si>
  <si>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</si>
  <si>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</si>
  <si>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</si>
  <si>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</si>
  <si>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</si>
  <si>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</si>
  <si>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</si>
  <si>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</si>
  <si>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</si>
  <si>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</si>
  <si>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</si>
  <si>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</si>
  <si>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</si>
  <si>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</si>
  <si>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</si>
  <si>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</si>
  <si>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</si>
  <si>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</si>
  <si>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</si>
  <si>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</si>
  <si>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</si>
  <si>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</si>
  <si>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</si>
  <si>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</si>
  <si>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</si>
  <si>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</si>
  <si>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</si>
  <si>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</si>
  <si>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</si>
  <si>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</si>
  <si>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</si>
  <si>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</si>
  <si>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</si>
  <si>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</si>
  <si>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</si>
  <si>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</si>
  <si>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</si>
  <si>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</si>
  <si>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</si>
  <si>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</si>
  <si>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</si>
  <si>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</si>
  <si>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</si>
  <si>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</si>
  <si>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</si>
  <si>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</si>
  <si>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</si>
  <si>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</si>
  <si>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</si>
  <si>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</si>
  <si>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</si>
  <si>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</si>
  <si>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</si>
  <si>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</si>
  <si>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</si>
  <si>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</si>
  <si>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</si>
  <si>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</si>
  <si>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</si>
  <si>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</si>
  <si>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</si>
  <si>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</si>
  <si>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</si>
  <si>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</si>
  <si>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</si>
  <si>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</si>
  <si>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</si>
  <si>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</si>
  <si>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</si>
  <si>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</si>
  <si>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</si>
  <si>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</si>
  <si>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</si>
  <si>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</si>
  <si>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</si>
  <si>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</si>
  <si>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</si>
  <si>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</si>
  <si>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</si>
  <si>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</si>
  <si>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</si>
  <si>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</si>
  <si>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</si>
  <si>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</si>
  <si>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</si>
  <si>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</si>
  <si>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</si>
  <si>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</si>
  <si>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</si>
  <si>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</si>
  <si>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</si>
  <si>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</si>
  <si>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</si>
  <si>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</si>
  <si>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</si>
  <si>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</si>
  <si>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</si>
  <si>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</si>
  <si>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</si>
  <si>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</si>
  <si>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</si>
  <si>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</si>
  <si>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</si>
  <si>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</si>
  <si>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</si>
  <si>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</si>
  <si>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</si>
  <si>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</si>
  <si>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</si>
  <si>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</si>
  <si>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</si>
  <si>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</si>
  <si>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</si>
  <si>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</si>
  <si>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</si>
  <si>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</si>
  <si>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</si>
  <si>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</si>
  <si>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</si>
  <si>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</si>
  <si>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</si>
  <si>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</si>
  <si>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</si>
  <si>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</si>
  <si>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</si>
  <si>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</si>
  <si>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</si>
  <si>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</si>
  <si>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</si>
  <si>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</si>
  <si>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</si>
  <si>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</si>
  <si>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</si>
  <si>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</si>
  <si>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</si>
  <si>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</si>
  <si>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</si>
  <si>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</si>
  <si>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</si>
  <si>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</si>
  <si>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</si>
  <si>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</si>
  <si>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</si>
  <si>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</si>
  <si>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</si>
  <si>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</si>
  <si>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</si>
  <si>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</si>
  <si>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</si>
  <si>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</si>
  <si>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</si>
  <si>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</si>
  <si>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</si>
  <si>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</si>
  <si>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</si>
  <si>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</si>
  <si>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</si>
  <si>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</si>
  <si>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</si>
  <si>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</si>
  <si>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</si>
  <si>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</si>
  <si>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</si>
  <si>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</si>
  <si>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</si>
  <si>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</si>
  <si>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</si>
  <si>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</si>
  <si>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</si>
  <si>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</si>
  <si>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</si>
  <si>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</si>
  <si>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</si>
  <si>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</si>
  <si>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</si>
  <si>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</si>
  <si>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</si>
  <si>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</si>
  <si>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</si>
  <si>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</si>
  <si>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</si>
  <si>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</si>
  <si>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</si>
  <si>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</si>
  <si>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</si>
  <si>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</si>
  <si>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</si>
  <si>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</si>
  <si>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</si>
  <si>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</si>
  <si>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</si>
  <si>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</si>
  <si>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</si>
  <si>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</si>
  <si>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</si>
  <si>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</si>
  <si>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</si>
  <si>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</si>
  <si>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</si>
  <si>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</si>
  <si>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</si>
  <si>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</si>
  <si>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</si>
  <si>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</si>
  <si>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</si>
  <si>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</si>
  <si>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</si>
  <si>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</si>
  <si>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</si>
  <si>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</si>
  <si>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</si>
  <si>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</si>
  <si>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</si>
  <si>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</si>
  <si>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</si>
  <si>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</si>
  <si>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</si>
  <si>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</si>
  <si>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</si>
  <si>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</si>
  <si>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</si>
  <si>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</si>
  <si>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</si>
  <si>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</si>
  <si>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</si>
  <si>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</si>
  <si>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</si>
  <si>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</si>
  <si>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</si>
  <si>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</si>
  <si>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</si>
  <si>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</si>
  <si>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</si>
  <si>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</si>
  <si>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</si>
  <si>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</si>
  <si>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</si>
  <si>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</si>
  <si>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</si>
  <si>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</si>
  <si>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</si>
  <si>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</si>
  <si>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</si>
  <si>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</si>
  <si>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</si>
  <si>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</si>
  <si>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</si>
  <si>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</si>
  <si>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</si>
  <si>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</si>
  <si>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</si>
  <si>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</si>
  <si>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</si>
  <si>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</si>
  <si>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</si>
  <si>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</si>
  <si>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</si>
  <si>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</si>
  <si>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</si>
  <si>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</si>
  <si>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</si>
  <si>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</si>
  <si>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</si>
  <si>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</si>
  <si>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</si>
  <si>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</si>
  <si>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</si>
  <si>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</si>
  <si>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</si>
  <si>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</si>
  <si>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</si>
  <si>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</si>
  <si>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</si>
  <si>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</si>
  <si>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</si>
  <si>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</si>
  <si>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</si>
  <si>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</si>
  <si>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</si>
  <si>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</si>
  <si>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</si>
  <si>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</si>
  <si>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</si>
  <si>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</si>
  <si>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</si>
  <si>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</si>
  <si>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</si>
  <si>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</si>
  <si>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</si>
  <si>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</si>
  <si>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</si>
  <si>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</si>
  <si>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</si>
  <si>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</si>
  <si>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</si>
  <si>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</si>
  <si>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</si>
  <si>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</si>
  <si>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</si>
  <si>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</si>
  <si>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</si>
  <si>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</si>
  <si>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</si>
  <si>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</si>
  <si>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</si>
  <si>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</si>
  <si>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</si>
  <si>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</si>
  <si>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</si>
  <si>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</si>
  <si>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</si>
  <si>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</si>
  <si>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</si>
  <si>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</si>
  <si>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</si>
  <si>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</si>
  <si>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</si>
  <si>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</si>
  <si>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</si>
  <si>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</si>
  <si>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</si>
  <si>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</si>
  <si>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</si>
  <si>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</si>
  <si>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</si>
  <si>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</si>
  <si>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</si>
  <si>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</si>
  <si>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</si>
  <si>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</si>
  <si>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</si>
  <si>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</si>
  <si>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</si>
  <si>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</si>
  <si>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</si>
  <si>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</si>
  <si>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</si>
  <si>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</si>
  <si>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</si>
  <si>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</si>
  <si>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</si>
  <si>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</si>
  <si>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</si>
  <si>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</si>
  <si>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</si>
  <si>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</si>
  <si>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</si>
  <si>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</si>
  <si>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</si>
  <si>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</si>
  <si>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</si>
  <si>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</si>
  <si>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</si>
  <si>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</si>
  <si>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</si>
  <si>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</si>
  <si>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</si>
  <si>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</si>
  <si>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</si>
  <si>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</si>
  <si>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</si>
  <si>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</si>
  <si>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</si>
  <si>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</si>
  <si>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</si>
  <si>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</si>
  <si>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</si>
  <si>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</si>
  <si>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</si>
  <si>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</si>
  <si>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</si>
  <si>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</si>
  <si>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</si>
  <si>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</si>
  <si>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</si>
  <si>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</si>
  <si>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</si>
  <si>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</si>
  <si>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</si>
  <si>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</si>
  <si>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</si>
  <si>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</si>
  <si>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</si>
  <si>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</si>
  <si>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</si>
  <si>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</si>
  <si>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</si>
  <si>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</si>
  <si>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</si>
  <si>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</si>
  <si>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</si>
  <si>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</si>
  <si>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</si>
  <si>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</si>
  <si>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</si>
  <si>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</si>
  <si>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</si>
  <si>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</si>
  <si>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</si>
  <si>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</si>
  <si>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</si>
  <si>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</si>
  <si>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</si>
  <si>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</si>
  <si>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</si>
  <si>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</si>
  <si>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</si>
  <si>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</si>
  <si>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</si>
  <si>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</si>
  <si>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</si>
  <si>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</si>
  <si>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</si>
  <si>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</si>
  <si>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</si>
  <si>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</si>
  <si>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</si>
  <si>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</si>
  <si>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</si>
  <si>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</si>
  <si>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</si>
  <si>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</si>
  <si>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</si>
  <si>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</si>
  <si>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</si>
  <si>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</si>
  <si>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</si>
  <si>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</si>
  <si>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</si>
  <si>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</si>
  <si>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</si>
  <si>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</si>
  <si>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</si>
  <si>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</si>
  <si>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</si>
  <si>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</si>
  <si>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</si>
  <si>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</si>
  <si>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</si>
  <si>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</si>
  <si>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</si>
  <si>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</si>
  <si>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</si>
  <si>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</si>
  <si>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</si>
  <si>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</si>
  <si>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</si>
  <si>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</si>
  <si>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</si>
  <si>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</si>
  <si>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</si>
  <si>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</si>
  <si>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</si>
  <si>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</si>
  <si>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</si>
  <si>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</si>
  <si>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</si>
  <si>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</si>
  <si>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</si>
  <si>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</si>
  <si>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</si>
  <si>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</si>
  <si>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</si>
  <si>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</si>
  <si>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</si>
  <si>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</si>
  <si>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</si>
  <si>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</si>
  <si>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</si>
  <si>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</si>
  <si>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</si>
  <si>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</si>
  <si>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</si>
  <si>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</si>
  <si>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</si>
  <si>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</si>
  <si>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</si>
  <si>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</si>
  <si>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</si>
  <si>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</si>
  <si>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</si>
  <si>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</si>
  <si>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</si>
  <si>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</si>
  <si>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</si>
  <si>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</si>
  <si>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</si>
  <si>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</si>
  <si>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</si>
  <si>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</si>
  <si>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</si>
  <si>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</si>
  <si>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</si>
  <si>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</si>
  <si>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</si>
  <si>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</si>
  <si>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</si>
  <si>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</si>
  <si>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</si>
  <si>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</si>
  <si>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</si>
  <si>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</si>
  <si>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</si>
  <si>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</si>
  <si>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</si>
  <si>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</si>
  <si>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</si>
  <si>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</si>
  <si>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</si>
  <si>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</si>
  <si>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</si>
  <si>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</si>
  <si>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</si>
  <si>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</si>
  <si>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</si>
  <si>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</si>
  <si>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</si>
  <si>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</si>
  <si>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</si>
  <si>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</si>
  <si>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</si>
  <si>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</si>
  <si>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</si>
  <si>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</si>
  <si>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</si>
  <si>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</si>
  <si>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</si>
  <si>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</si>
  <si>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</si>
  <si>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</si>
  <si>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</si>
  <si>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</si>
  <si>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</si>
  <si>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</si>
  <si>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</si>
  <si>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</si>
  <si>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</si>
  <si>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</si>
  <si>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</si>
  <si>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</si>
  <si>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</si>
  <si>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</si>
  <si>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</si>
  <si>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</si>
  <si>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</si>
  <si>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</si>
  <si>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</si>
  <si>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</si>
  <si>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</si>
  <si>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</si>
  <si>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</si>
  <si>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</si>
  <si>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</si>
  <si>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</si>
  <si>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</si>
  <si>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</si>
  <si>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</si>
  <si>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</si>
  <si>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</si>
  <si>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</si>
  <si>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</si>
  <si>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</si>
  <si>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</si>
  <si>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</si>
  <si>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</si>
  <si>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</si>
  <si>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</si>
  <si>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</si>
  <si>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</si>
  <si>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</si>
  <si>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</si>
  <si>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</si>
  <si>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</si>
  <si>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</si>
  <si>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</si>
  <si>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</si>
  <si>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</si>
  <si>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</si>
  <si>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</si>
  <si>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</si>
  <si>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</si>
  <si>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</si>
  <si>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</si>
  <si>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</si>
  <si>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</si>
  <si>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</si>
  <si>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</si>
  <si>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</si>
  <si>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</si>
  <si>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</si>
  <si>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</si>
  <si>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</si>
  <si>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</si>
  <si>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</si>
  <si>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</si>
  <si>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</si>
  <si>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</si>
  <si>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</si>
  <si>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</si>
  <si>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</si>
  <si>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</si>
  <si>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</si>
  <si>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</si>
  <si>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</si>
  <si>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</si>
  <si>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</si>
  <si>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</si>
  <si>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</si>
  <si>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</si>
  <si>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</si>
  <si>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</si>
  <si>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</si>
  <si>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</si>
  <si>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</si>
  <si>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</si>
  <si>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</si>
  <si>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</si>
  <si>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</si>
  <si>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</si>
  <si>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</si>
  <si>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</si>
  <si>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</si>
  <si>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</si>
  <si>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</si>
  <si>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</si>
  <si>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</si>
  <si>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</si>
  <si>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</si>
  <si>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</si>
  <si>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</si>
  <si>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</si>
  <si>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</si>
  <si>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</si>
  <si>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</si>
  <si>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</si>
  <si>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</si>
  <si>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</si>
  <si>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</si>
  <si>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</si>
  <si>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</si>
  <si>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</si>
  <si>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</si>
  <si>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</si>
  <si>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</si>
  <si>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</si>
  <si>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</si>
  <si>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</si>
  <si>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</si>
  <si>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</si>
  <si>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</si>
  <si>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</si>
  <si>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</si>
  <si>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</si>
  <si>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</si>
  <si>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</si>
  <si>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</si>
  <si>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</si>
  <si>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</si>
  <si>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</si>
  <si>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</si>
  <si>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</si>
  <si>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</si>
  <si>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</si>
  <si>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</si>
  <si>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</si>
  <si>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</si>
  <si>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</si>
  <si>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</si>
  <si>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</si>
  <si>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</si>
  <si>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</si>
  <si>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</si>
  <si>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</si>
  <si>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</si>
  <si>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</si>
  <si>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</si>
  <si>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</si>
  <si>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</si>
  <si>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</si>
  <si>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</si>
  <si>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</si>
  <si>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</si>
  <si>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</si>
  <si>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</si>
  <si>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</si>
  <si>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</si>
  <si>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</si>
  <si>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</si>
  <si>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</si>
  <si>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</si>
  <si>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</si>
  <si>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</si>
  <si>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</si>
  <si>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</si>
  <si>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</si>
  <si>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</si>
  <si>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</si>
  <si>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</si>
  <si>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</si>
  <si>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</si>
  <si>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</si>
  <si>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</si>
  <si>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</si>
  <si>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</si>
  <si>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</si>
  <si>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</si>
  <si>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</si>
  <si>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</si>
  <si>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</si>
  <si>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</si>
  <si>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</si>
  <si>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</si>
  <si>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</si>
  <si>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</si>
  <si>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</si>
  <si>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</si>
  <si>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</si>
  <si>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</si>
  <si>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</si>
  <si>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</si>
  <si>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</si>
  <si>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</si>
  <si>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</si>
  <si>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</si>
  <si>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</si>
  <si>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</si>
  <si>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</si>
  <si>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</si>
  <si>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</si>
  <si>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</si>
  <si>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</si>
  <si>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</si>
  <si>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</si>
  <si>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</si>
  <si>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</si>
  <si>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</si>
  <si>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</si>
  <si>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</si>
  <si>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</si>
  <si>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</si>
  <si>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</si>
  <si>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</si>
  <si>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</si>
  <si>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</si>
  <si>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</si>
  <si>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</si>
  <si>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</si>
  <si>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</si>
  <si>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</si>
  <si>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</si>
  <si>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</si>
  <si>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</si>
  <si>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</si>
  <si>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</si>
  <si>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</si>
  <si>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</si>
  <si>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</si>
  <si>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</si>
  <si>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</si>
  <si>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</si>
  <si>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</si>
  <si>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</si>
  <si>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</si>
  <si>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</si>
  <si>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</si>
  <si>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</si>
  <si>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</si>
  <si>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</si>
  <si>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</si>
  <si>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</si>
  <si>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</si>
  <si>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</si>
  <si>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</si>
  <si>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</si>
  <si>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</si>
  <si>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</si>
  <si>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</si>
  <si>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</si>
  <si>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</si>
  <si>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</si>
  <si>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</si>
  <si>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</si>
  <si>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</si>
  <si>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</si>
  <si>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</si>
  <si>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</si>
  <si>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</si>
  <si>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</si>
  <si>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</si>
  <si>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</si>
  <si>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</si>
  <si>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</si>
  <si>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</si>
  <si>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</si>
  <si>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</si>
  <si>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</si>
  <si>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</si>
  <si>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</si>
  <si>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</si>
  <si>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</si>
  <si>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</si>
  <si>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</si>
  <si>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</si>
  <si>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</si>
  <si>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</si>
  <si>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</si>
  <si>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</si>
  <si>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</si>
  <si>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</si>
  <si>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</si>
  <si>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</si>
  <si>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</si>
  <si>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</si>
  <si>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</si>
  <si>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</si>
  <si>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</si>
  <si>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</si>
  <si>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</si>
  <si>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</si>
  <si>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</si>
  <si>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</si>
  <si>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</si>
  <si>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</si>
  <si>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</si>
  <si>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</si>
  <si>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</si>
  <si>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</si>
  <si>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</si>
  <si>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</si>
  <si>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</si>
  <si>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</si>
  <si>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</si>
  <si>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</si>
  <si>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</si>
  <si>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</si>
  <si>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</si>
  <si>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</si>
  <si>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</si>
  <si>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</si>
  <si>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</si>
  <si>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</si>
  <si>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</si>
  <si>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</si>
  <si>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</si>
  <si>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</si>
  <si>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</si>
  <si>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</si>
  <si>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</si>
  <si>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</si>
  <si>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</si>
  <si>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</si>
  <si>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</si>
  <si>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</si>
  <si>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</si>
  <si>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</si>
  <si>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</si>
  <si>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</si>
  <si>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</si>
  <si>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</si>
  <si>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</si>
  <si>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</si>
  <si>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</si>
  <si>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</si>
  <si>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</si>
  <si>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</si>
  <si>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</si>
  <si>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</si>
  <si>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</si>
  <si>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</si>
  <si>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</si>
  <si>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</si>
  <si>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</si>
  <si>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</si>
  <si>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</si>
  <si>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</si>
  <si>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</si>
  <si>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</si>
  <si>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</si>
  <si>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</si>
  <si>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</si>
  <si>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</si>
  <si>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</si>
  <si>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</si>
  <si>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</si>
  <si>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</si>
  <si>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</si>
  <si>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</si>
  <si>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</si>
  <si>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</si>
  <si>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</si>
  <si>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</si>
  <si>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</si>
  <si>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</si>
  <si>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</si>
  <si>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</si>
  <si>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</si>
  <si>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</si>
  <si>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</si>
  <si>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</si>
  <si>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</si>
  <si>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</si>
  <si>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</si>
  <si>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</si>
  <si>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</si>
  <si>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</si>
  <si>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</si>
  <si>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</si>
  <si>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</si>
  <si>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</si>
  <si>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</si>
  <si>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</si>
  <si>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</si>
  <si>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</si>
  <si>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</si>
  <si>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</si>
  <si>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</si>
  <si>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</si>
  <si>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</si>
  <si>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</si>
  <si>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</si>
  <si>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</si>
  <si>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</si>
  <si>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</si>
  <si>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</si>
  <si>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</si>
  <si>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</si>
  <si>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</si>
  <si>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</si>
  <si>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</si>
  <si>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</si>
  <si>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</si>
  <si>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</si>
  <si>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</si>
  <si>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</si>
  <si>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</si>
  <si>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</si>
  <si>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</si>
  <si>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</si>
  <si>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</si>
  <si>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</si>
  <si>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</si>
  <si>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</si>
  <si>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</si>
  <si>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</si>
  <si>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</si>
  <si>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</si>
  <si>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</si>
  <si>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</si>
  <si>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</si>
  <si>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</si>
  <si>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</si>
  <si>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</si>
  <si>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</si>
  <si>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</si>
  <si>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</si>
  <si>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</si>
  <si>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</si>
  <si>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</si>
  <si>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</si>
  <si>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</si>
  <si>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</si>
  <si>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</si>
  <si>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</si>
  <si>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</si>
  <si>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</si>
  <si>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</si>
  <si>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</si>
  <si>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</si>
  <si>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</si>
  <si>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</si>
  <si>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</si>
  <si>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</si>
  <si>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</si>
  <si>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</si>
  <si>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</si>
  <si>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</si>
  <si>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</si>
  <si>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</si>
  <si>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</si>
  <si>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</si>
  <si>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</si>
  <si>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</si>
  <si>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</si>
  <si>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</si>
  <si>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</si>
  <si>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</si>
  <si>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</si>
  <si>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</si>
  <si>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</si>
  <si>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</si>
  <si>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</si>
  <si>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</si>
  <si>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</si>
  <si>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</si>
  <si>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</si>
  <si>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</si>
  <si>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</si>
  <si>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</si>
  <si>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</si>
  <si>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</si>
  <si>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</si>
  <si>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</si>
  <si>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</si>
  <si>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</si>
  <si>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</si>
  <si>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</si>
  <si>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</si>
  <si>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</si>
  <si>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</si>
  <si>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</si>
  <si>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</si>
  <si>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</si>
  <si>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</si>
  <si>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</si>
  <si>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</si>
  <si>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</si>
  <si>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</si>
  <si>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</si>
  <si>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</si>
  <si>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</si>
  <si>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</si>
  <si>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</si>
  <si>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</si>
  <si>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</si>
  <si>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</si>
  <si>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</si>
  <si>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</si>
  <si>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</si>
  <si>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</si>
  <si>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</si>
  <si>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</si>
  <si>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</si>
  <si>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</si>
  <si>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</si>
  <si>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</si>
  <si>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</si>
  <si>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</si>
  <si>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</si>
  <si>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</si>
  <si>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</si>
  <si>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</si>
  <si>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</si>
  <si>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</si>
  <si>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</si>
  <si>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</si>
  <si>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</si>
  <si>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</si>
  <si>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</si>
  <si>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</si>
  <si>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</si>
  <si>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</si>
  <si>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</si>
  <si>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</si>
  <si>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</si>
  <si>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</si>
  <si>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</si>
  <si>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</si>
  <si>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</si>
  <si>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</si>
  <si>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</si>
  <si>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</si>
  <si>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</si>
  <si>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</si>
  <si>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</si>
  <si>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</si>
  <si>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</si>
  <si>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</si>
  <si>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</si>
  <si>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</si>
  <si>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</si>
  <si>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</si>
  <si>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</si>
  <si>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</si>
  <si>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</si>
  <si>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</si>
  <si>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</si>
  <si>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</si>
  <si>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</si>
  <si>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</si>
  <si>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</si>
  <si>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</si>
  <si>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</si>
  <si>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</si>
  <si>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</si>
  <si>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</si>
  <si>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</si>
  <si>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</si>
  <si>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</si>
  <si>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</si>
  <si>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</si>
  <si>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</si>
  <si>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</si>
  <si>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</si>
  <si>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</si>
  <si>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</si>
  <si>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</si>
  <si>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</si>
  <si>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</si>
  <si>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</si>
  <si>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</si>
  <si>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</si>
  <si>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</si>
  <si>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</si>
  <si>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</si>
  <si>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</si>
  <si>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</si>
  <si>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</si>
  <si>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</si>
  <si>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</si>
  <si>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</si>
  <si>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</si>
  <si>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</si>
  <si>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</si>
  <si>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</si>
  <si>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</si>
  <si>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</si>
  <si>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</si>
  <si>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</si>
  <si>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</si>
  <si>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</si>
  <si>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</si>
  <si>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</si>
  <si>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</si>
  <si>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</si>
  <si>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</si>
  <si>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</si>
  <si>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</si>
  <si>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</si>
  <si>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</si>
  <si>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</si>
  <si>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</si>
  <si>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</si>
  <si>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</si>
  <si>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</si>
  <si>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</si>
  <si>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</si>
  <si>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</si>
  <si>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</si>
  <si>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</si>
  <si>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</si>
  <si>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</si>
  <si>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</si>
  <si>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</si>
  <si>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</si>
  <si>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</si>
  <si>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</si>
  <si>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</si>
  <si>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</si>
  <si>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</si>
  <si>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</si>
  <si>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</si>
  <si>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</si>
  <si>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</si>
  <si>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</si>
  <si>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</si>
  <si>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</si>
  <si>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</si>
  <si>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</si>
  <si>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</si>
  <si>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</si>
  <si>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</si>
  <si>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</si>
  <si>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</si>
  <si>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</si>
  <si>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</si>
  <si>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</si>
  <si>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</si>
  <si>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</si>
  <si>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</si>
  <si>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</si>
  <si>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</si>
  <si>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</si>
  <si>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</si>
  <si>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</si>
  <si>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</si>
  <si>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</si>
  <si>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</si>
  <si>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</si>
  <si>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</si>
  <si>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</si>
  <si>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</si>
  <si>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</si>
  <si>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</si>
  <si>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</si>
  <si>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</si>
  <si>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</si>
  <si>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</si>
  <si>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</si>
  <si>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</si>
  <si>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</si>
  <si>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</si>
  <si>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</si>
  <si>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</si>
  <si>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</si>
  <si>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</si>
  <si>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</si>
  <si>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</si>
  <si>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</si>
  <si>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</si>
  <si>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</si>
  <si>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</si>
  <si>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</si>
  <si>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</si>
  <si>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</si>
  <si>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</si>
  <si>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</si>
  <si>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</si>
  <si>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</si>
  <si>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</si>
  <si>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</si>
  <si>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</si>
  <si>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</si>
  <si>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</si>
  <si>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</si>
  <si>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</si>
  <si>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</si>
  <si>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</si>
  <si>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</si>
  <si>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</si>
  <si>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</si>
  <si>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</si>
  <si>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</si>
  <si>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</si>
  <si>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</si>
  <si>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</si>
  <si>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</si>
  <si>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</si>
  <si>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</si>
  <si>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</si>
  <si>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</si>
  <si>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</si>
  <si>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</si>
  <si>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</si>
  <si>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</si>
  <si>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</si>
  <si>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</si>
  <si>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</si>
  <si>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</si>
  <si>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</si>
  <si>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</si>
  <si>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</si>
  <si>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</si>
  <si>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</si>
  <si>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</si>
  <si>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</si>
  <si>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</si>
  <si>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</si>
  <si>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</si>
  <si>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</si>
  <si>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</si>
  <si>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</si>
  <si>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</si>
  <si>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</si>
  <si>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</si>
  <si>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</si>
  <si>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</si>
  <si>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</si>
  <si>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</si>
  <si>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</si>
  <si>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</si>
  <si>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</si>
  <si>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</si>
  <si>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</si>
  <si>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</si>
  <si>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</si>
  <si>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</si>
  <si>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</si>
  <si>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</si>
  <si>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</si>
  <si>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</si>
  <si>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</si>
  <si>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</si>
  <si>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</si>
  <si>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</si>
  <si>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</si>
  <si>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</si>
  <si>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</si>
  <si>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</si>
  <si>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</si>
  <si>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</si>
  <si>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</si>
  <si>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</si>
  <si>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</si>
  <si>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</si>
  <si>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</si>
  <si>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</si>
  <si>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</si>
  <si>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</si>
  <si>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</si>
  <si>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</si>
  <si>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</si>
  <si>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</si>
  <si>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</si>
  <si>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</si>
  <si>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</si>
  <si>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</si>
  <si>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</si>
  <si>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</si>
  <si>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</si>
  <si>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</si>
  <si>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</si>
  <si>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</si>
  <si>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</si>
  <si>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</si>
  <si>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</si>
  <si>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</si>
  <si>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</si>
  <si>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</si>
  <si>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</si>
  <si>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</si>
  <si>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</si>
  <si>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</si>
  <si>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</si>
  <si>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</si>
  <si>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</si>
  <si>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</si>
  <si>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</si>
  <si>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</si>
  <si>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</si>
  <si>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</si>
  <si>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</si>
  <si>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</si>
  <si>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</si>
  <si>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</si>
  <si>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</si>
  <si>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</si>
  <si>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</si>
  <si>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</si>
  <si>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</si>
  <si>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</si>
  <si>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</si>
  <si>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</si>
  <si>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</si>
  <si>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</si>
  <si>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</si>
  <si>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</si>
  <si>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</si>
  <si>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</si>
  <si>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</si>
  <si>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</si>
  <si>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</si>
  <si>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</si>
  <si>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</si>
  <si>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</si>
  <si>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</si>
  <si>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</si>
  <si>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</si>
  <si>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</si>
  <si>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</si>
  <si>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</si>
  <si>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</si>
  <si>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</si>
  <si>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</si>
  <si>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</si>
  <si>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</si>
  <si>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</si>
  <si>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</si>
  <si>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</si>
  <si>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</si>
  <si>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</si>
  <si>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</si>
  <si>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</si>
  <si>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</si>
  <si>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</si>
  <si>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</si>
  <si>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</si>
  <si>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</si>
  <si>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</si>
  <si>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</si>
  <si>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</si>
  <si>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</si>
  <si>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</si>
  <si>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</si>
  <si>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</si>
  <si>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</si>
  <si>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</si>
  <si>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</si>
  <si>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</si>
  <si>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</si>
  <si>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</si>
  <si>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</si>
  <si>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</si>
  <si>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</si>
  <si>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</si>
  <si>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</si>
  <si>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</si>
  <si>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</si>
  <si>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</si>
  <si>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</si>
  <si>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</si>
  <si>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</si>
  <si>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</si>
  <si>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</si>
  <si>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</si>
  <si>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</si>
  <si>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</si>
  <si>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</si>
  <si>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</si>
  <si>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</si>
  <si>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</si>
  <si>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</si>
  <si>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</si>
  <si>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</si>
  <si>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</si>
  <si>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</si>
  <si>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</si>
  <si>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</si>
  <si>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</si>
  <si>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</si>
  <si>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</si>
  <si>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</si>
  <si>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</si>
  <si>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</si>
  <si>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</si>
  <si>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</si>
  <si>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</si>
  <si>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</si>
  <si>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</si>
  <si>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</si>
  <si>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</si>
  <si>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</si>
  <si>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</si>
  <si>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</si>
  <si>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</si>
  <si>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</si>
  <si>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</si>
  <si>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</si>
  <si>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</si>
  <si>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</si>
  <si>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</si>
  <si>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</si>
  <si>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</si>
  <si>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</si>
  <si>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</si>
  <si>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</si>
  <si>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</si>
  <si>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</si>
  <si>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</si>
  <si>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</si>
  <si>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</si>
  <si>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</si>
  <si>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</si>
  <si>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</si>
  <si>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</si>
  <si>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</si>
  <si>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</si>
  <si>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</si>
  <si>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</si>
  <si>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</si>
  <si>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</si>
  <si>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</si>
  <si>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</si>
  <si>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</si>
  <si>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</si>
  <si>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</si>
  <si>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</si>
  <si>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</si>
  <si>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</si>
  <si>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</si>
  <si>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</si>
  <si>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</si>
  <si>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</si>
  <si>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</si>
  <si>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</si>
  <si>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</si>
  <si>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</si>
  <si>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</si>
  <si>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</si>
  <si>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</si>
  <si>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</si>
  <si>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</si>
  <si>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</si>
  <si>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</si>
  <si>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</si>
  <si>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</si>
  <si>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</si>
  <si>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</si>
  <si>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</si>
  <si>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</si>
  <si>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</si>
  <si>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</si>
  <si>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</si>
  <si>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</si>
  <si>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</si>
  <si>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</si>
  <si>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</si>
  <si>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</si>
  <si>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</si>
  <si>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</si>
  <si>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</si>
  <si>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</si>
  <si>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</si>
  <si>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</si>
  <si>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</si>
  <si>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</si>
  <si>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</si>
  <si>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</si>
  <si>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</si>
  <si>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</si>
  <si>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</si>
  <si>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</si>
  <si>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</si>
  <si>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</si>
  <si>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</si>
  <si>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</si>
  <si>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</si>
  <si>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</si>
  <si>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</si>
  <si>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</si>
  <si>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</si>
  <si>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</si>
  <si>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</si>
  <si>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</si>
  <si>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</si>
  <si>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</si>
  <si>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</si>
  <si>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</si>
  <si>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</si>
  <si>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</si>
  <si>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</si>
  <si>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</si>
  <si>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</si>
  <si>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</si>
  <si>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</si>
  <si>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</si>
  <si>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</si>
  <si>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</si>
  <si>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</si>
  <si>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</si>
  <si>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</si>
  <si>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</si>
  <si>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</si>
  <si>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</si>
  <si>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</si>
  <si>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</si>
  <si>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</si>
  <si>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</si>
  <si>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</si>
  <si>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</si>
  <si>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</si>
  <si>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</si>
  <si>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</si>
  <si>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</si>
  <si>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</si>
  <si>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</si>
  <si>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</si>
  <si>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</si>
  <si>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</si>
  <si>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</si>
  <si>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</si>
  <si>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</si>
  <si>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</si>
  <si>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</si>
  <si>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</si>
  <si>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</si>
  <si>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</si>
  <si>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</si>
  <si>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</si>
  <si>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</si>
  <si>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</si>
  <si>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</si>
  <si>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</si>
  <si>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</si>
  <si>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</si>
  <si>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</si>
  <si>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</si>
  <si>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</si>
  <si>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</si>
  <si>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</si>
  <si>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</si>
  <si>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</si>
  <si>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</si>
  <si>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</si>
  <si>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</si>
  <si>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</si>
  <si>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</si>
  <si>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</si>
  <si>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</si>
  <si>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</si>
  <si>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</si>
  <si>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</si>
  <si>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</si>
  <si>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</si>
  <si>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</si>
  <si>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</si>
  <si>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</si>
  <si>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</si>
  <si>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</si>
  <si>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</si>
  <si>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</si>
  <si>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</si>
  <si>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</si>
  <si>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</si>
  <si>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</si>
  <si>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</si>
  <si>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</si>
  <si>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</si>
  <si>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</si>
  <si>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</si>
  <si>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</si>
  <si>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</si>
  <si>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</si>
  <si>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</si>
  <si>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</si>
  <si>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</si>
  <si>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</si>
  <si>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</si>
  <si>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</si>
  <si>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</si>
  <si>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</si>
  <si>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</si>
  <si>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</si>
  <si>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</si>
  <si>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</si>
  <si>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</si>
  <si>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</si>
  <si>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</si>
  <si>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</si>
  <si>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</si>
  <si>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</si>
  <si>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</si>
  <si>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</si>
  <si>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</si>
  <si>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</si>
  <si>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</si>
  <si>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</si>
  <si>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</si>
  <si>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</si>
  <si>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</si>
  <si>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</si>
  <si>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</si>
  <si>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</si>
  <si>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</si>
  <si>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</si>
  <si>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</si>
  <si>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</si>
  <si>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</si>
  <si>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</si>
  <si>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</si>
  <si>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</si>
  <si>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</si>
  <si>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</si>
  <si>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</si>
  <si>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</si>
  <si>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</si>
  <si>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</si>
  <si>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</si>
  <si>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</si>
  <si>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</si>
  <si>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</si>
  <si>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</si>
  <si>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</si>
  <si>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</si>
  <si>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</si>
  <si>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</si>
  <si>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</si>
  <si>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</si>
  <si>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</si>
  <si>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</si>
  <si>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</si>
  <si>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</si>
  <si>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</si>
  <si>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</si>
  <si>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</si>
  <si>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</si>
  <si>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</si>
  <si>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</si>
  <si>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</si>
  <si>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</si>
  <si>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</si>
  <si>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</si>
  <si>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</si>
  <si>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</si>
  <si>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</si>
  <si>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</si>
  <si>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</si>
  <si>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</si>
  <si>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</si>
  <si>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</si>
  <si>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</si>
  <si>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</si>
  <si>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</si>
  <si>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</si>
  <si>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</si>
  <si>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</si>
  <si>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</si>
  <si>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</si>
  <si>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</si>
  <si>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</si>
  <si>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</si>
  <si>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</si>
  <si>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</si>
  <si>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</si>
  <si>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</si>
  <si>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</si>
  <si>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</si>
  <si>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</si>
  <si>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</si>
  <si>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</si>
  <si>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</si>
  <si>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</si>
  <si>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</si>
  <si>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</si>
  <si>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</si>
  <si>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</si>
  <si>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</si>
  <si>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</si>
  <si>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</si>
  <si>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</si>
  <si>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</si>
  <si>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</si>
  <si>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</si>
  <si>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</si>
  <si>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</si>
  <si>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</si>
  <si>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</si>
  <si>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</si>
  <si>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</si>
  <si>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</si>
  <si>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</si>
  <si>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</si>
  <si>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</si>
  <si>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</si>
  <si>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</si>
  <si>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</si>
  <si>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</si>
  <si>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</si>
  <si>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</si>
  <si>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</si>
  <si>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</si>
  <si>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</si>
  <si>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</si>
  <si>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</si>
  <si>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</si>
  <si>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</si>
  <si>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</si>
  <si>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</si>
  <si>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</si>
  <si>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</si>
  <si>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</si>
  <si>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</si>
  <si>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</si>
  <si>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</si>
  <si>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</si>
  <si>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</si>
  <si>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</si>
  <si>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</si>
  <si>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</si>
  <si>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</si>
  <si>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</si>
  <si>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</si>
  <si>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</si>
  <si>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</si>
  <si>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</si>
  <si>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</si>
  <si>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</si>
  <si>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</si>
  <si>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</si>
  <si>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</si>
  <si>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</si>
  <si>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</si>
  <si>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</si>
  <si>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</si>
  <si>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</si>
  <si>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</si>
  <si>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</si>
  <si>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</si>
  <si>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</si>
  <si>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</si>
  <si>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</si>
  <si>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</si>
  <si>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</si>
  <si>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</si>
  <si>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</si>
  <si>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</si>
  <si>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</si>
  <si>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</si>
  <si>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</si>
  <si>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</si>
  <si>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</si>
  <si>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</si>
  <si>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</si>
  <si>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</si>
  <si>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</si>
  <si>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</si>
  <si>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</si>
  <si>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</si>
  <si>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</si>
  <si>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</si>
  <si>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</si>
  <si>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</si>
  <si>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</si>
  <si>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</si>
  <si>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</si>
  <si>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</si>
  <si>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</si>
  <si>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</si>
  <si>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</si>
  <si>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</si>
  <si>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</si>
  <si>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</si>
  <si>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</si>
  <si>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</si>
  <si>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</si>
  <si>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</si>
  <si>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</si>
  <si>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</si>
  <si>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</si>
  <si>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</si>
  <si>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</si>
  <si>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</si>
  <si>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</si>
  <si>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</si>
  <si>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</si>
  <si>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</si>
  <si>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</si>
  <si>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</si>
  <si>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</si>
  <si>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</si>
  <si>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</si>
  <si>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</si>
  <si>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</si>
  <si>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</si>
  <si>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</si>
  <si>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</si>
  <si>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</si>
  <si>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</si>
  <si>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</si>
  <si>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</si>
  <si>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</si>
  <si>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</si>
  <si>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</si>
  <si>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</si>
  <si>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</si>
  <si>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</si>
  <si>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</si>
  <si>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</si>
  <si>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</si>
  <si>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</si>
  <si>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</si>
  <si>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</si>
  <si>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</si>
  <si>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</si>
  <si>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</si>
  <si>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</si>
  <si>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</si>
  <si>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</si>
  <si>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</si>
  <si>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</si>
  <si>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</si>
  <si>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</si>
  <si>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</si>
  <si>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</si>
  <si>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</si>
  <si>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</si>
  <si>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</si>
  <si>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</si>
  <si>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</si>
  <si>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</si>
  <si>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</si>
  <si>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</si>
  <si>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</si>
  <si>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</si>
  <si>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</si>
  <si>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</si>
  <si>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</si>
  <si>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</si>
  <si>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</si>
  <si>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</si>
  <si>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</si>
  <si>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</si>
  <si>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</si>
  <si>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</si>
  <si>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</si>
  <si>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</si>
  <si>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</si>
  <si>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</si>
  <si>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</si>
  <si>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</si>
  <si>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</si>
  <si>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</si>
  <si>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</si>
  <si>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</si>
  <si>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</si>
  <si>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</si>
  <si>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</si>
  <si>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</si>
  <si>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</si>
  <si>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</si>
  <si>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</si>
  <si>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</si>
  <si>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</si>
  <si>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</si>
  <si>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</si>
  <si>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</si>
  <si>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</si>
  <si>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</si>
  <si>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</si>
  <si>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</si>
  <si>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</si>
  <si>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</si>
  <si>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</si>
  <si>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</si>
  <si>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</si>
  <si>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</si>
  <si>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</si>
  <si>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</si>
  <si>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</si>
  <si>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</si>
  <si>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</si>
  <si>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</si>
  <si>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</si>
  <si>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</si>
  <si>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</si>
  <si>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</si>
  <si>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</si>
  <si>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</si>
  <si>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</si>
  <si>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</si>
  <si>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</si>
  <si>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</si>
  <si>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</si>
  <si>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</si>
  <si>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</si>
  <si>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</si>
  <si>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</si>
  <si>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</si>
  <si>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</si>
  <si>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</si>
  <si>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</si>
  <si>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</si>
  <si>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</si>
  <si>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</si>
  <si>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</si>
  <si>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</si>
  <si>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</si>
  <si>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</si>
  <si>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</si>
  <si>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</si>
  <si>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</si>
  <si>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</si>
  <si>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</si>
  <si>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</si>
  <si>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</si>
  <si>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</si>
  <si>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</si>
  <si>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</si>
  <si>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</si>
  <si>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</si>
  <si>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</si>
  <si>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</si>
  <si>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</si>
  <si>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</si>
  <si>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</si>
  <si>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</si>
  <si>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</si>
  <si>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</si>
  <si>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</si>
  <si>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</si>
  <si>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</si>
  <si>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</si>
  <si>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</si>
  <si>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</si>
  <si>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</si>
  <si>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</si>
  <si>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</si>
  <si>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</si>
  <si>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</si>
  <si>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</si>
  <si>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</si>
  <si>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</si>
  <si>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</si>
  <si>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</si>
  <si>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</si>
  <si>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</si>
  <si>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</si>
  <si>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</si>
  <si>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</si>
  <si>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</si>
  <si>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</si>
  <si>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</si>
  <si>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</si>
  <si>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</si>
  <si>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</si>
  <si>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</si>
  <si>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</si>
  <si>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</si>
  <si>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</si>
  <si>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</si>
  <si>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</si>
  <si>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</si>
  <si>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</si>
  <si>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</si>
  <si>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</si>
  <si>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</si>
  <si>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</si>
  <si>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</si>
  <si>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</si>
  <si>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</si>
  <si>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</si>
  <si>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</si>
  <si>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</si>
  <si>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</si>
  <si>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</si>
  <si>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</si>
  <si>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</si>
  <si>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</si>
  <si>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</si>
  <si>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</si>
  <si>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</si>
  <si>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</si>
  <si>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</si>
  <si>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</si>
  <si>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</si>
  <si>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</si>
  <si>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</si>
  <si>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</si>
  <si>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</si>
  <si>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</si>
  <si>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</si>
  <si>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</si>
  <si>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</si>
  <si>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</si>
  <si>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</si>
  <si>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</si>
  <si>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</si>
  <si>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</si>
  <si>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</si>
  <si>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</si>
  <si>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</si>
  <si>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</si>
  <si>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</si>
  <si>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</si>
  <si>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</si>
  <si>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</si>
  <si>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</si>
  <si>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</si>
  <si>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</si>
  <si>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</si>
  <si>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</si>
  <si>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</si>
  <si>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</si>
  <si>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</si>
  <si>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</si>
  <si>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</si>
  <si>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</si>
  <si>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</si>
  <si>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</si>
  <si>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</si>
  <si>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</si>
  <si>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</si>
  <si>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</si>
  <si>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</si>
  <si>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</si>
  <si>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</si>
  <si>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</si>
  <si>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</si>
  <si>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</si>
  <si>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</si>
  <si>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</si>
  <si>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</si>
  <si>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</si>
  <si>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</si>
  <si>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</si>
  <si>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</si>
  <si>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</si>
  <si>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</si>
  <si>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</si>
  <si>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</si>
  <si>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</si>
  <si>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</si>
  <si>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</si>
  <si>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</si>
  <si>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</si>
  <si>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</si>
  <si>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</si>
  <si>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</si>
  <si>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</si>
  <si>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</si>
  <si>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</si>
  <si>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</si>
  <si>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</si>
  <si>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</si>
  <si>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</si>
  <si>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</si>
  <si>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</si>
  <si>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</si>
  <si>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</si>
  <si>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</si>
  <si>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</si>
  <si>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</si>
  <si>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</si>
  <si>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</si>
  <si>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</si>
  <si>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</si>
  <si>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</si>
  <si>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</si>
  <si>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</si>
  <si>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</si>
  <si>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</si>
  <si>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</si>
  <si>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</si>
  <si>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</si>
  <si>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</si>
  <si>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</si>
  <si>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</si>
  <si>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</si>
  <si>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</si>
  <si>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</si>
  <si>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</si>
  <si>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</si>
  <si>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</si>
  <si>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</si>
  <si>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</si>
  <si>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</si>
  <si>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</si>
  <si>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</si>
  <si>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</si>
  <si>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</si>
  <si>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</si>
  <si>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</si>
  <si>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</si>
  <si>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</si>
  <si>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</si>
  <si>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</si>
  <si>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</si>
  <si>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</si>
  <si>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</si>
  <si>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</si>
  <si>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</si>
  <si>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</si>
  <si>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</si>
  <si>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</si>
  <si>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</si>
  <si>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</si>
  <si>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</si>
  <si>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</si>
  <si>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</si>
  <si>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</si>
  <si>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</si>
  <si>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</si>
  <si>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</si>
  <si>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</si>
  <si>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</si>
  <si>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</si>
  <si>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</si>
  <si>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</si>
  <si>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</si>
  <si>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</si>
  <si>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</si>
  <si>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</si>
  <si>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</si>
  <si>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</si>
  <si>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</si>
  <si>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</si>
  <si>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</si>
  <si>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</si>
  <si>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</si>
  <si>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</si>
  <si>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</si>
  <si>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</si>
  <si>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</si>
  <si>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</si>
  <si>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</si>
  <si>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</si>
  <si>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</si>
  <si>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</si>
  <si>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</si>
  <si>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</si>
  <si>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</si>
  <si>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</si>
  <si>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</si>
  <si>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</si>
  <si>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</si>
  <si>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</si>
  <si>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</si>
  <si>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</si>
  <si>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</si>
  <si>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</si>
  <si>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</si>
  <si>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</si>
  <si>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</si>
  <si>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</si>
  <si>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</si>
  <si>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</si>
  <si>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</si>
  <si>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</si>
  <si>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</si>
  <si>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</si>
  <si>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</si>
  <si>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</si>
  <si>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</si>
  <si>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</si>
  <si>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</si>
  <si>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</si>
  <si>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</si>
  <si>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</si>
  <si>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</si>
  <si>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</si>
  <si>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</si>
  <si>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</si>
  <si>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</si>
  <si>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</si>
  <si>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</si>
  <si>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</si>
  <si>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</si>
  <si>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</si>
  <si>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</si>
  <si>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</si>
  <si>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</si>
  <si>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</si>
  <si>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</si>
  <si>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</si>
  <si>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</si>
  <si>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</si>
  <si>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</si>
  <si>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</si>
  <si>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</si>
  <si>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</si>
  <si>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</si>
  <si>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</si>
  <si>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</si>
  <si>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</si>
  <si>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</si>
  <si>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</si>
  <si>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</si>
  <si>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</si>
  <si>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</si>
  <si>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</si>
  <si>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</si>
  <si>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</si>
  <si>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</si>
  <si>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</si>
  <si>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</si>
  <si>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</si>
  <si>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</si>
  <si>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</si>
  <si>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</si>
  <si>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</si>
  <si>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</si>
  <si>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</si>
  <si>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</si>
  <si>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</si>
  <si>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</si>
  <si>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</si>
  <si>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</si>
  <si>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</si>
  <si>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</si>
  <si>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</si>
  <si>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</si>
  <si>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</si>
  <si>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</si>
  <si>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</si>
  <si>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</si>
  <si>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</si>
  <si>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</si>
  <si>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</si>
  <si>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</si>
  <si>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</si>
  <si>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</si>
  <si>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</si>
  <si>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</si>
  <si>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</si>
  <si>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</si>
  <si>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</si>
  <si>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</si>
  <si>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</si>
  <si>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</si>
  <si>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</si>
  <si>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</si>
  <si>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</si>
  <si>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</si>
  <si>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</si>
  <si>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</si>
  <si>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</si>
  <si>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</si>
  <si>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</si>
  <si>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</si>
  <si>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</si>
  <si>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</si>
  <si>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</si>
  <si>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</si>
  <si>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</si>
  <si>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</si>
  <si>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</si>
  <si>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</si>
  <si>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</si>
  <si>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</si>
  <si>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</si>
  <si>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</si>
  <si>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</si>
  <si>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</si>
  <si>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</si>
  <si>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</si>
  <si>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</si>
  <si>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</si>
  <si>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</si>
  <si>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</si>
  <si>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</si>
  <si>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</si>
  <si>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</si>
  <si>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</si>
  <si>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</si>
  <si>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</si>
  <si>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</si>
  <si>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</si>
  <si>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</si>
  <si>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</si>
  <si>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</si>
  <si>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</si>
  <si>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</si>
  <si>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</si>
  <si>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</si>
  <si>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</si>
  <si>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</si>
  <si>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</si>
  <si>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</si>
  <si>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</si>
  <si>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</si>
  <si>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</si>
  <si>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</si>
  <si>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</si>
  <si>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</si>
  <si>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</si>
  <si>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</si>
  <si>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</si>
  <si>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</si>
  <si>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</si>
  <si>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</si>
  <si>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</si>
  <si>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</si>
  <si>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</si>
  <si>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</si>
  <si>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</si>
  <si>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</si>
  <si>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</si>
  <si>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</si>
  <si>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</si>
  <si>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</si>
  <si>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</si>
  <si>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</si>
  <si>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</si>
  <si>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</si>
  <si>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</si>
  <si>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</si>
  <si>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</si>
  <si>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</si>
  <si>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</si>
  <si>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</si>
  <si>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</si>
  <si>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</si>
  <si>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</si>
  <si>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</si>
  <si>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</si>
  <si>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</si>
  <si>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</si>
  <si>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</si>
  <si>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</si>
  <si>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</si>
  <si>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</si>
  <si>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</si>
  <si>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</si>
  <si>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</si>
  <si>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</si>
  <si>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</si>
  <si>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</si>
  <si>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</si>
  <si>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</si>
  <si>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</si>
  <si>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</si>
  <si>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</si>
  <si>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</si>
  <si>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</si>
  <si>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</si>
  <si>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</si>
  <si>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</si>
  <si>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</si>
  <si>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</si>
  <si>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</si>
  <si>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</si>
  <si>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</si>
  <si>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</si>
  <si>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</si>
  <si>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</si>
  <si>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</si>
  <si>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</si>
  <si>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</si>
  <si>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</si>
  <si>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</si>
  <si>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</si>
  <si>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</si>
  <si>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</si>
  <si>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</si>
  <si>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</si>
  <si>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</si>
  <si>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</si>
  <si>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</si>
  <si>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</si>
  <si>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</si>
  <si>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</si>
  <si>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</si>
  <si>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</si>
  <si>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</si>
  <si>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</si>
  <si>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</si>
  <si>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</si>
  <si>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</si>
  <si>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</si>
  <si>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</si>
  <si>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</si>
  <si>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</si>
  <si>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</si>
  <si>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</si>
  <si>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</si>
  <si>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</si>
  <si>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</si>
  <si>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</si>
  <si>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</si>
  <si>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</si>
  <si>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</si>
  <si>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</si>
  <si>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</si>
  <si>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</si>
  <si>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</si>
  <si>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</si>
  <si>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</si>
  <si>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</si>
  <si>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</si>
  <si>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</si>
  <si>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</si>
  <si>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</si>
  <si>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</si>
  <si>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</si>
  <si>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</si>
  <si>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</si>
  <si>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</si>
  <si>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</si>
  <si>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</si>
  <si>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</si>
  <si>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</si>
  <si>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</si>
  <si>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</si>
  <si>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</si>
  <si>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</si>
  <si>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</si>
  <si>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</si>
  <si>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</si>
  <si>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</si>
  <si>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</si>
  <si>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</si>
  <si>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</si>
  <si>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</si>
  <si>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</si>
  <si>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</si>
  <si>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</si>
  <si>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</si>
  <si>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</si>
  <si>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</si>
  <si>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</si>
  <si>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</si>
  <si>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</si>
  <si>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</si>
  <si>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</si>
  <si>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</si>
  <si>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</si>
  <si>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</si>
  <si>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</si>
  <si>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</si>
  <si>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</si>
  <si>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</si>
  <si>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</si>
  <si>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</si>
  <si>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</si>
  <si>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</si>
  <si>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</si>
  <si>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</si>
  <si>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</si>
  <si>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</si>
  <si>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</si>
  <si>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</si>
  <si>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</si>
  <si>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</si>
  <si>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</si>
  <si>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</si>
  <si>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</si>
  <si>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</si>
  <si>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</si>
  <si>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</si>
  <si>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</si>
  <si>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</si>
  <si>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</si>
  <si>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</si>
  <si>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</si>
  <si>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</si>
  <si>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</si>
  <si>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</si>
  <si>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</si>
  <si>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</si>
  <si>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</si>
  <si>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</si>
  <si>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</si>
  <si>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</si>
  <si>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</si>
  <si>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</si>
  <si>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</si>
  <si>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</si>
  <si>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</si>
  <si>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</si>
  <si>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</si>
  <si>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</si>
  <si>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</si>
  <si>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</si>
  <si>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</si>
  <si>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</si>
  <si>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</si>
  <si>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</si>
  <si>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</si>
  <si>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</si>
  <si>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</si>
  <si>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</si>
  <si>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</si>
  <si>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</si>
  <si>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</si>
  <si>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</si>
  <si>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</si>
  <si>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</si>
  <si>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</si>
  <si>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</si>
  <si>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</si>
  <si>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</si>
  <si>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</si>
  <si>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</si>
  <si>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</si>
  <si>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</si>
  <si>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</si>
  <si>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</si>
  <si>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</si>
  <si>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</si>
  <si>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</si>
  <si>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</si>
  <si>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</si>
  <si>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</si>
  <si>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</si>
  <si>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</si>
  <si>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</si>
  <si>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</si>
  <si>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</si>
  <si>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</si>
  <si>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</si>
  <si>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</si>
  <si>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</si>
  <si>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</si>
  <si>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</si>
  <si>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</si>
  <si>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</si>
  <si>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</si>
  <si>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</si>
  <si>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</si>
  <si>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</si>
  <si>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</si>
  <si>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</si>
  <si>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</si>
  <si>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</si>
  <si>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</si>
  <si>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</si>
  <si>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</si>
  <si>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</si>
  <si>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</si>
  <si>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</si>
  <si>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</si>
  <si>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</si>
  <si>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</si>
  <si>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</si>
  <si>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</si>
  <si>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</si>
  <si>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</si>
  <si>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</si>
  <si>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</si>
  <si>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</si>
  <si>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</si>
  <si>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</si>
  <si>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</si>
  <si>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</si>
  <si>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</si>
  <si>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</si>
  <si>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</si>
  <si>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</si>
  <si>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</si>
  <si>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</si>
  <si>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</si>
  <si>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</si>
  <si>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</si>
  <si>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</si>
  <si>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</si>
  <si>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</si>
  <si>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</si>
  <si>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</si>
  <si>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</si>
  <si>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</si>
  <si>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</si>
  <si>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</si>
  <si>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</si>
  <si>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</si>
  <si>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</si>
  <si>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</si>
  <si>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</si>
  <si>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</si>
  <si>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</si>
  <si>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</si>
  <si>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</si>
  <si>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</si>
  <si>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</si>
  <si>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</si>
  <si>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</si>
  <si>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</si>
  <si>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</si>
  <si>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</si>
  <si>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</si>
  <si>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</si>
  <si>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</si>
  <si>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</si>
  <si>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</si>
  <si>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</si>
  <si>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</si>
  <si>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</si>
  <si>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</si>
  <si>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</si>
  <si>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</si>
  <si>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</si>
  <si>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</si>
  <si>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</si>
  <si>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</si>
  <si>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</si>
  <si>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</si>
  <si>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</si>
  <si>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</si>
  <si>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</si>
  <si>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</si>
  <si>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</si>
  <si>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</si>
  <si>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</si>
  <si>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</si>
  <si>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</si>
  <si>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</si>
  <si>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</si>
  <si>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</si>
  <si>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</si>
  <si>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</si>
  <si>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</si>
  <si>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</si>
  <si>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</si>
  <si>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</si>
  <si>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</si>
  <si>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</si>
  <si>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</si>
  <si>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</si>
  <si>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</si>
  <si>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</si>
  <si>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</si>
  <si>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</si>
  <si>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</si>
  <si>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</si>
  <si>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</si>
  <si>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</si>
  <si>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</si>
  <si>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</si>
  <si>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</si>
  <si>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</si>
  <si>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</si>
  <si>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</si>
  <si>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</si>
  <si>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</si>
  <si>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</si>
  <si>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</si>
  <si>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</si>
  <si>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</si>
  <si>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</si>
  <si>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</si>
  <si>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</si>
  <si>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</si>
  <si>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</si>
  <si>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</si>
  <si>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</si>
  <si>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</si>
  <si>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</si>
  <si>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</si>
  <si>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</si>
  <si>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</si>
  <si>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</si>
  <si>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</si>
  <si>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</si>
  <si>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</si>
  <si>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</si>
  <si>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</si>
  <si>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</si>
  <si>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</si>
  <si>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</si>
  <si>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</si>
  <si>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</si>
  <si>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</si>
  <si>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</si>
  <si>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</si>
  <si>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</si>
  <si>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</si>
  <si>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</si>
  <si>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</si>
  <si>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</si>
  <si>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</si>
  <si>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</si>
  <si>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</si>
  <si>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</si>
  <si>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</si>
  <si>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</si>
  <si>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</si>
  <si>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</si>
  <si>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</si>
  <si>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</si>
  <si>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</si>
  <si>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</si>
  <si>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</si>
  <si>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</si>
  <si>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</si>
  <si>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</si>
  <si>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</si>
  <si>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</si>
  <si>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</si>
  <si>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</si>
  <si>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</si>
  <si>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</si>
  <si>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</si>
  <si>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</si>
  <si>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</si>
  <si>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</si>
  <si>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</si>
  <si>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</si>
  <si>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</si>
  <si>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</si>
  <si>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</si>
  <si>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</si>
  <si>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</si>
  <si>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</si>
  <si>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</si>
  <si>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</si>
  <si>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</si>
  <si>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</si>
  <si>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</si>
  <si>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</si>
  <si>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</si>
  <si>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</si>
  <si>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</si>
  <si>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</si>
  <si>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</si>
  <si>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</si>
  <si>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</si>
  <si>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</si>
  <si>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</si>
  <si>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</si>
  <si>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</si>
  <si>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</si>
  <si>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</si>
  <si>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</si>
  <si>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</si>
  <si>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</si>
  <si>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</si>
  <si>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</si>
  <si>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</si>
  <si>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</si>
  <si>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</si>
  <si>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</si>
  <si>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</si>
  <si>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</si>
  <si>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</si>
  <si>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</si>
  <si>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</si>
  <si>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</si>
  <si>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</si>
  <si>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</si>
  <si>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</si>
  <si>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</si>
  <si>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</si>
  <si>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</si>
  <si>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</si>
  <si>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</si>
  <si>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</si>
  <si>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</si>
  <si>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</si>
  <si>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</si>
  <si>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</si>
  <si>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</si>
  <si>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</si>
  <si>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</si>
  <si>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</si>
  <si>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</si>
  <si>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</si>
  <si>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</si>
  <si>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</si>
  <si>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</si>
  <si>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</si>
  <si>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</si>
  <si>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</si>
  <si>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</si>
  <si>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</si>
  <si>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</si>
  <si>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</si>
  <si>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</si>
  <si>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</si>
  <si>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</si>
  <si>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</si>
  <si>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</si>
  <si>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</si>
  <si>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</si>
  <si>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</si>
  <si>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</si>
  <si>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</si>
  <si>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</si>
  <si>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</si>
  <si>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</si>
  <si>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</si>
  <si>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</si>
  <si>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</si>
  <si>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</si>
  <si>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</si>
  <si>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</si>
  <si>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</si>
  <si>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</si>
  <si>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</si>
  <si>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</si>
  <si>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</si>
  <si>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</si>
  <si>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</si>
  <si>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</si>
  <si>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</si>
  <si>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</si>
  <si>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</si>
  <si>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</si>
  <si>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</si>
  <si>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</si>
  <si>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</si>
  <si>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</si>
  <si>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</si>
  <si>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</si>
  <si>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</si>
  <si>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</si>
  <si>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</si>
  <si>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</si>
  <si>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</si>
  <si>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</si>
  <si>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</si>
  <si>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</si>
  <si>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</si>
  <si>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</si>
  <si>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</si>
  <si>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</si>
  <si>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</si>
  <si>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</si>
  <si>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</si>
  <si>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</si>
  <si>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</si>
  <si>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</si>
  <si>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</si>
  <si>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</si>
  <si>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</si>
  <si>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</si>
  <si>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</si>
  <si>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</si>
  <si>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</si>
  <si>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</si>
  <si>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</si>
  <si>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</si>
  <si>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</si>
  <si>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</si>
  <si>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</si>
  <si>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</si>
  <si>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</si>
  <si>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</si>
  <si>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</si>
  <si>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</si>
  <si>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</si>
  <si>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</si>
  <si>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</si>
  <si>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</si>
  <si>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</si>
  <si>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</si>
  <si>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</si>
  <si>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</si>
  <si>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</si>
  <si>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</si>
  <si>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</si>
  <si>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</si>
  <si>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</si>
  <si>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</si>
  <si>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</si>
  <si>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</si>
  <si>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</si>
  <si>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</si>
  <si>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</si>
  <si>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</si>
  <si>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</si>
  <si>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</si>
  <si>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</si>
  <si>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</si>
  <si>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</si>
  <si>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</si>
  <si>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</si>
  <si>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</si>
  <si>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</si>
  <si>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</si>
  <si>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</si>
  <si>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</si>
  <si>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</si>
  <si>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</si>
  <si>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</si>
  <si>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</si>
  <si>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</si>
  <si>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</si>
  <si>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</si>
  <si>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</si>
  <si>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</si>
  <si>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</si>
  <si>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</si>
  <si>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</si>
  <si>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</si>
  <si>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</si>
  <si>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</si>
  <si>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</si>
  <si>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</si>
  <si>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</si>
  <si>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</si>
  <si>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</si>
  <si>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</si>
  <si>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</si>
  <si>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</si>
  <si>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</si>
  <si>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</si>
  <si>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</si>
  <si>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</si>
  <si>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</si>
  <si>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</si>
  <si>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</si>
  <si>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</si>
  <si>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</si>
  <si>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</si>
  <si>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</si>
  <si>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</si>
  <si>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</si>
  <si>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</si>
  <si>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</si>
  <si>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</si>
  <si>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</si>
  <si>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</si>
  <si>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</si>
  <si>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</si>
  <si>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</si>
  <si>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</si>
  <si>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</si>
  <si>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</si>
  <si>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</si>
  <si>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</si>
  <si>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</si>
  <si>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</si>
  <si>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</si>
  <si>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</si>
  <si>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</si>
  <si>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</si>
  <si>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</si>
  <si>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</si>
  <si>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</si>
  <si>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</si>
  <si>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</si>
  <si>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</si>
  <si>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</si>
  <si>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</si>
  <si>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</si>
  <si>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</si>
  <si>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</si>
  <si>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</si>
  <si>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</si>
  <si>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</si>
  <si>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</si>
  <si>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</si>
  <si>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</si>
  <si>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</si>
  <si>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</si>
  <si>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</si>
  <si>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</si>
  <si>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</si>
  <si>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</si>
  <si>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</si>
  <si>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</si>
  <si>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</si>
  <si>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</si>
  <si>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</si>
  <si>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</si>
  <si>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</si>
  <si>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</si>
  <si>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</si>
  <si>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</si>
  <si>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</si>
  <si>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</si>
  <si>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</si>
  <si>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</si>
  <si>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</si>
  <si>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</si>
  <si>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</si>
  <si>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</si>
  <si>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</si>
  <si>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</si>
  <si>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</si>
  <si>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</si>
  <si>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</si>
  <si>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</si>
  <si>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</si>
  <si>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</si>
  <si>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</si>
  <si>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</si>
  <si>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</si>
  <si>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</si>
  <si>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</si>
  <si>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</si>
  <si>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</si>
  <si>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</si>
  <si>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</si>
  <si>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</si>
  <si>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</si>
  <si>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</si>
  <si>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</si>
  <si>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</si>
  <si>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</si>
  <si>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</si>
  <si>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</si>
  <si>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</si>
  <si>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</si>
  <si>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</si>
  <si>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</si>
  <si>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</si>
  <si>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</si>
  <si>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</si>
  <si>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</si>
  <si>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</si>
  <si>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</si>
  <si>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</si>
  <si>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</si>
  <si>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</si>
  <si>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</si>
  <si>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</si>
  <si>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</si>
  <si>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</si>
  <si>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</si>
  <si>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</si>
  <si>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</si>
  <si>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</si>
  <si>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</si>
  <si>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</si>
  <si>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</si>
  <si>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</si>
  <si>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</si>
  <si>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</si>
  <si>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</si>
  <si>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</si>
  <si>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</si>
  <si>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</si>
  <si>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</si>
  <si>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</si>
  <si>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</si>
  <si>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</si>
  <si>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</si>
  <si>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</si>
  <si>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</si>
  <si>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</si>
  <si>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</si>
  <si>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</si>
  <si>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</si>
  <si>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</si>
  <si>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</si>
  <si>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</si>
  <si>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</si>
  <si>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</si>
  <si>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</si>
  <si>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</si>
  <si>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</si>
  <si>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</si>
  <si>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</si>
  <si>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</si>
  <si>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</si>
  <si>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</si>
  <si>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</si>
  <si>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</si>
  <si>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</si>
  <si>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</si>
  <si>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</si>
  <si>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</si>
  <si>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</si>
  <si>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</si>
  <si>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</si>
  <si>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</si>
  <si>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</si>
  <si>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</si>
  <si>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</si>
  <si>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</si>
  <si>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</si>
  <si>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</si>
  <si>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</si>
  <si>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</si>
  <si>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</si>
  <si>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</si>
  <si>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</si>
  <si>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</si>
  <si>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</si>
  <si>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</si>
  <si>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</si>
  <si>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</si>
  <si>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</si>
  <si>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</si>
  <si>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</si>
  <si>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</si>
  <si>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</si>
  <si>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</si>
  <si>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</si>
  <si>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</si>
  <si>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</si>
  <si>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</si>
  <si>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</si>
  <si>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</si>
  <si>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</si>
  <si>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</si>
  <si>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</si>
  <si>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</si>
  <si>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</si>
  <si>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</si>
  <si>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</si>
  <si>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</si>
  <si>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</si>
  <si>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</si>
  <si>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</si>
  <si>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</si>
  <si>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</si>
  <si>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</si>
  <si>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</si>
  <si>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</si>
  <si>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</si>
  <si>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</si>
  <si>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</si>
  <si>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</si>
  <si>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</si>
  <si>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</si>
  <si>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</si>
  <si>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</si>
  <si>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</si>
  <si>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</si>
  <si>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</si>
  <si>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</si>
  <si>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</si>
  <si>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</si>
  <si>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</si>
  <si>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</si>
  <si>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</si>
  <si>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</si>
  <si>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</si>
  <si>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</si>
  <si>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</si>
  <si>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</si>
  <si>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</si>
  <si>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</si>
  <si>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</si>
  <si>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</si>
  <si>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</si>
  <si>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</si>
  <si>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</si>
  <si>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</si>
  <si>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</si>
  <si>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</si>
  <si>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</si>
  <si>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</si>
  <si>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</si>
  <si>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</si>
  <si>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</si>
  <si>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</si>
  <si>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</si>
  <si>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</si>
  <si>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</si>
  <si>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</si>
  <si>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</si>
  <si>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</si>
  <si>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</si>
  <si>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</si>
  <si>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</si>
  <si>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</si>
  <si>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</si>
  <si>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</si>
  <si>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</si>
  <si>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</si>
  <si>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</si>
  <si>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</si>
  <si>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</si>
  <si>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</si>
  <si>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</si>
  <si>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</si>
  <si>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</si>
  <si>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</si>
  <si>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</si>
  <si>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</si>
  <si>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</si>
  <si>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</si>
  <si>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</si>
  <si>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</si>
  <si>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</si>
  <si>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</si>
  <si>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</si>
  <si>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</si>
  <si>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</si>
  <si>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</si>
  <si>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</si>
  <si>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</si>
  <si>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</si>
  <si>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</si>
  <si>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</si>
  <si>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</si>
  <si>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</si>
  <si>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</si>
  <si>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</si>
  <si>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</si>
  <si>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</si>
  <si>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</si>
  <si>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</si>
  <si>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</si>
  <si>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</si>
  <si>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</si>
  <si>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</si>
  <si>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</si>
  <si>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</si>
  <si>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</si>
  <si>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</si>
  <si>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</si>
  <si>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</si>
  <si>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</si>
  <si>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</si>
  <si>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</si>
  <si>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</si>
  <si>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</si>
  <si>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</si>
  <si>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</si>
  <si>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</si>
  <si>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</si>
  <si>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</si>
  <si>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</si>
  <si>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</si>
  <si>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</si>
  <si>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</si>
  <si>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</si>
  <si>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</si>
  <si>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</si>
  <si>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</si>
  <si>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</si>
  <si>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</si>
  <si>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</si>
  <si>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</si>
  <si>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</si>
  <si>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</si>
  <si>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</si>
  <si>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</si>
  <si>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</si>
  <si>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</si>
  <si>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</si>
  <si>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</si>
  <si>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</si>
  <si>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</si>
  <si>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</si>
  <si>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</si>
  <si>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</si>
  <si>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</si>
  <si>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</si>
  <si>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</si>
  <si>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</si>
  <si>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</si>
  <si>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</si>
  <si>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</si>
  <si>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</si>
  <si>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</si>
  <si>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</si>
  <si>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</si>
  <si>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</si>
  <si>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</si>
  <si>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</si>
  <si>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</si>
  <si>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</si>
  <si>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</si>
  <si>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</si>
  <si>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</si>
  <si>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</si>
  <si>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</si>
  <si>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</si>
  <si>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</si>
  <si>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</si>
  <si>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</si>
  <si>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</si>
  <si>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</si>
  <si>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</si>
  <si>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</si>
  <si>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</si>
  <si>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</si>
  <si>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</si>
  <si>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</si>
  <si>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</si>
  <si>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</si>
  <si>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</si>
  <si>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</si>
  <si>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</si>
  <si>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</si>
  <si>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</si>
  <si>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</si>
  <si>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</si>
  <si>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</si>
  <si>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</si>
  <si>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</si>
  <si>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</si>
  <si>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</si>
  <si>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</si>
  <si>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</si>
  <si>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</si>
  <si>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</si>
  <si>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</si>
  <si>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</si>
  <si>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</si>
  <si>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</si>
  <si>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</si>
  <si>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</si>
  <si>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</si>
  <si>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</si>
  <si>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</si>
  <si>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</si>
  <si>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</si>
  <si>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</si>
  <si>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</si>
  <si>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</si>
  <si>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</si>
  <si>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</si>
  <si>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</si>
  <si>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</si>
  <si>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</si>
  <si>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</si>
  <si>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</si>
  <si>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</si>
  <si>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</si>
  <si>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</si>
  <si>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</si>
  <si>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</si>
  <si>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</si>
  <si>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</si>
  <si>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</si>
  <si>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</si>
  <si>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</si>
  <si>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</si>
  <si>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</si>
  <si>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</si>
  <si>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</si>
  <si>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</si>
  <si>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</si>
  <si>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</si>
  <si>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</si>
  <si>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</si>
  <si>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</si>
  <si>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</si>
  <si>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</si>
  <si>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</si>
  <si>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</si>
  <si>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</si>
  <si>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</si>
  <si>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</si>
  <si>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</si>
  <si>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</si>
  <si>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</si>
  <si>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</si>
  <si>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</si>
  <si>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</si>
  <si>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</si>
  <si>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</si>
  <si>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</si>
  <si>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</si>
  <si>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</si>
  <si>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</si>
  <si>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</si>
  <si>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</si>
  <si>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</si>
  <si>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</si>
  <si>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</si>
  <si>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</si>
  <si>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</si>
  <si>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</si>
  <si>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</si>
  <si>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</si>
  <si>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</si>
  <si>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</si>
  <si>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</si>
  <si>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</si>
  <si>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</si>
  <si>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</si>
  <si>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</si>
  <si>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</si>
  <si>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</si>
  <si>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</si>
  <si>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</si>
  <si>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</si>
  <si>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</si>
  <si>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</si>
  <si>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</si>
  <si>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</si>
  <si>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</si>
  <si>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</si>
  <si>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</si>
  <si>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</si>
  <si>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</si>
  <si>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</si>
  <si>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</si>
  <si>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</si>
  <si>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</si>
  <si>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</si>
  <si>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</si>
  <si>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</si>
  <si>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</si>
  <si>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</si>
  <si>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</si>
  <si>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</si>
  <si>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</si>
  <si>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</si>
  <si>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</si>
  <si>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</si>
  <si>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</si>
  <si>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</si>
  <si>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</si>
  <si>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</si>
  <si>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</si>
  <si>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</si>
  <si>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</si>
  <si>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</si>
  <si>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</si>
  <si>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</si>
  <si>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</si>
  <si>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</si>
  <si>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</si>
  <si>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</si>
  <si>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</si>
  <si>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</si>
  <si>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</si>
  <si>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</si>
  <si>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</si>
  <si>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</si>
  <si>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</si>
  <si>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</si>
  <si>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</si>
  <si>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</si>
  <si>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</si>
  <si>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</si>
  <si>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</si>
  <si>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</si>
  <si>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</si>
  <si>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</si>
  <si>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</si>
  <si>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</si>
  <si>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</si>
  <si>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</si>
  <si>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</si>
  <si>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</si>
  <si>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</si>
  <si>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</si>
  <si>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</si>
  <si>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</si>
  <si>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</si>
  <si>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</si>
  <si>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</si>
  <si>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</si>
  <si>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</si>
  <si>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</si>
  <si>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</si>
  <si>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</si>
  <si>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</si>
  <si>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</si>
  <si>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</si>
  <si>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</si>
  <si>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</si>
  <si>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</si>
  <si>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</si>
  <si>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</si>
  <si>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</si>
  <si>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</si>
  <si>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</si>
  <si>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</si>
  <si>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</si>
  <si>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</si>
  <si>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</si>
  <si>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</si>
  <si>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</si>
  <si>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</si>
  <si>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</si>
  <si>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</si>
  <si>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</si>
  <si>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</si>
  <si>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</si>
  <si>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</si>
  <si>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</si>
  <si>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</si>
  <si>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</si>
  <si>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</si>
  <si>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</si>
  <si>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</si>
  <si>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</si>
  <si>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</si>
  <si>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</si>
  <si>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</si>
  <si>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</si>
  <si>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</si>
  <si>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</si>
  <si>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</si>
  <si>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</si>
  <si>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</si>
  <si>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</si>
  <si>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</si>
  <si>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</si>
  <si>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</si>
  <si>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</si>
  <si>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</si>
  <si>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</si>
  <si>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</si>
  <si>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</si>
  <si>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</si>
  <si>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</si>
  <si>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</si>
  <si>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</si>
  <si>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</si>
  <si>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</si>
  <si>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</si>
  <si>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</si>
  <si>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</si>
  <si>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</si>
  <si>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</si>
  <si>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</si>
  <si>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</si>
  <si>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</si>
  <si>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</si>
  <si>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</si>
  <si>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</si>
  <si>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</si>
  <si>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</si>
  <si>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</si>
  <si>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</si>
  <si>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</si>
  <si>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</si>
  <si>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</si>
  <si>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</si>
  <si>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</si>
  <si>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</si>
  <si>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</si>
  <si>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</si>
  <si>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</si>
  <si>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</si>
  <si>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</si>
  <si>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</si>
  <si>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</si>
  <si>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</si>
  <si>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</si>
  <si>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</si>
  <si>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</si>
  <si>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</si>
  <si>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</si>
  <si>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</si>
  <si>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</si>
  <si>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</si>
  <si>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</si>
  <si>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</si>
  <si>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</si>
  <si>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</si>
  <si>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</si>
  <si>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</si>
  <si>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</si>
  <si>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</si>
  <si>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</si>
  <si>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</si>
  <si>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</si>
  <si>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</si>
  <si>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</si>
  <si>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</si>
  <si>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</si>
  <si>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</si>
  <si>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</si>
  <si>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</si>
  <si>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</si>
  <si>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</si>
  <si>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</si>
  <si>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</si>
  <si>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</si>
  <si>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</si>
  <si>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</si>
  <si>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</si>
  <si>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</si>
  <si>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</si>
  <si>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</si>
  <si>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</si>
  <si>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</si>
  <si>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</si>
  <si>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</si>
  <si>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</si>
  <si>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</si>
  <si>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</si>
  <si>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</si>
  <si>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</si>
  <si>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</si>
  <si>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</si>
  <si>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</si>
  <si>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</si>
  <si>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</si>
  <si>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</si>
  <si>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</si>
  <si>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</si>
  <si>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</si>
  <si>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</si>
  <si>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</si>
  <si>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</si>
  <si>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</si>
  <si>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</si>
  <si>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</si>
  <si>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</si>
  <si>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</si>
  <si>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</si>
  <si>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</si>
  <si>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</si>
  <si>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</si>
  <si>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</si>
  <si>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</si>
  <si>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</si>
  <si>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</si>
  <si>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</si>
  <si>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</si>
  <si>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</si>
  <si>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</si>
  <si>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</si>
  <si>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</si>
  <si>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</si>
  <si>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</si>
  <si>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</si>
  <si>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</si>
  <si>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</si>
  <si>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</si>
  <si>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</si>
  <si>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</si>
  <si>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</si>
  <si>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</si>
  <si>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</si>
  <si>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</si>
  <si>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</si>
  <si>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</si>
  <si>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</si>
  <si>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</si>
  <si>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</si>
  <si>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</si>
  <si>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</si>
  <si>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</si>
  <si>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</si>
  <si>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</si>
  <si>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</si>
  <si>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</si>
  <si>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</si>
  <si>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</si>
  <si>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</si>
  <si>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</si>
  <si>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</si>
  <si>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</si>
  <si>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</si>
  <si>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</si>
  <si>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</si>
  <si>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</si>
  <si>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</si>
  <si>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</si>
  <si>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</si>
  <si>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</si>
  <si>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</si>
  <si>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</si>
  <si>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</si>
  <si>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</si>
  <si>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</si>
  <si>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</si>
  <si>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</si>
  <si>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</si>
  <si>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</si>
  <si>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</si>
  <si>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</si>
  <si>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</si>
  <si>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</si>
  <si>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</si>
  <si>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</si>
  <si>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</si>
  <si>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</si>
  <si>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</si>
  <si>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</si>
  <si>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</si>
  <si>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</si>
  <si>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</si>
  <si>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</si>
  <si>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</si>
  <si>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</si>
  <si>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</si>
  <si>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</si>
  <si>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</si>
  <si>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</si>
  <si>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</si>
  <si>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</si>
  <si>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</si>
  <si>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</si>
  <si>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</si>
  <si>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</si>
  <si>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</si>
  <si>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</si>
  <si>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</si>
  <si>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</si>
  <si>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</si>
  <si>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</si>
  <si>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</si>
  <si>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</si>
  <si>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</si>
  <si>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</si>
  <si>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</si>
  <si>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</si>
  <si>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</si>
  <si>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</si>
  <si>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</si>
  <si>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</si>
  <si>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</si>
  <si>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</si>
  <si>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</si>
  <si>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</si>
  <si>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</si>
  <si>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</si>
  <si>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</si>
  <si>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</si>
  <si>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</si>
  <si>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</si>
  <si>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</si>
  <si>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</si>
  <si>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</si>
  <si>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</si>
  <si>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</si>
  <si>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</si>
  <si>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</si>
  <si>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</si>
  <si>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</si>
  <si>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</si>
  <si>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</si>
  <si>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</si>
  <si>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</si>
  <si>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</si>
  <si>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</si>
  <si>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</si>
  <si>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</si>
  <si>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</si>
  <si>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</si>
  <si>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</si>
  <si>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</si>
  <si>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</si>
  <si>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</si>
  <si>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</si>
  <si>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</si>
  <si>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</si>
  <si>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</si>
  <si>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</si>
  <si>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</si>
  <si>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</si>
  <si>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</si>
  <si>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</si>
  <si>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</si>
  <si>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</si>
  <si>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</si>
  <si>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</si>
  <si>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</si>
  <si>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</si>
  <si>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</si>
  <si>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</si>
  <si>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</si>
  <si>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</si>
  <si>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</si>
  <si>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</si>
  <si>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</si>
  <si>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</si>
  <si>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</si>
  <si>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</si>
  <si>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</si>
  <si>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</si>
  <si>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</si>
  <si>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</si>
  <si>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</si>
  <si>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</si>
  <si>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</si>
  <si>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</si>
  <si>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</si>
  <si>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</si>
  <si>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</si>
  <si>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</si>
  <si>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</si>
  <si>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</si>
  <si>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</si>
  <si>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</si>
  <si>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</si>
  <si>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</si>
  <si>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</si>
  <si>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</si>
  <si>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</si>
  <si>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</si>
  <si>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</si>
  <si>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</si>
  <si>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</si>
  <si>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</si>
  <si>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</si>
  <si>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</si>
  <si>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</si>
  <si>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</si>
  <si>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</si>
  <si>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</si>
  <si>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</si>
  <si>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</si>
  <si>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</si>
  <si>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</si>
  <si>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</si>
  <si>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</si>
  <si>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</si>
  <si>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</si>
  <si>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</si>
  <si>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</si>
  <si>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</si>
  <si>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</si>
  <si>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</si>
  <si>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</si>
  <si>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</si>
  <si>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</si>
  <si>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</si>
  <si>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</si>
  <si>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</si>
  <si>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</si>
  <si>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</si>
  <si>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</si>
  <si>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</si>
  <si>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</si>
  <si>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</si>
  <si>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</si>
  <si>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</si>
  <si>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</si>
  <si>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</si>
  <si>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</si>
  <si>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</si>
  <si>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</si>
  <si>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</si>
  <si>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</si>
  <si>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</si>
  <si>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</si>
  <si>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</si>
  <si>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</si>
  <si>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</si>
  <si>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</si>
  <si>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</si>
  <si>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</si>
  <si>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</si>
  <si>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</si>
  <si>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</si>
  <si>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</si>
  <si>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</si>
  <si>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</si>
  <si>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</si>
  <si>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</si>
  <si>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</si>
  <si>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</si>
  <si>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</si>
  <si>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</si>
  <si>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</si>
  <si>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</si>
  <si>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</si>
  <si>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</si>
  <si>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</si>
  <si>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</si>
  <si>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</si>
  <si>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</si>
  <si>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</si>
  <si>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</si>
  <si>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</si>
  <si>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</si>
  <si>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</si>
  <si>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</si>
  <si>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</si>
  <si>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</si>
  <si>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</si>
  <si>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</si>
  <si>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</si>
  <si>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</si>
  <si>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</si>
  <si>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</si>
  <si>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</si>
  <si>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</si>
  <si>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</si>
  <si>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</si>
  <si>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</si>
  <si>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</si>
  <si>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</si>
  <si>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</si>
  <si>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</si>
  <si>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</si>
  <si>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</si>
  <si>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</si>
  <si>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</si>
  <si>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</si>
  <si>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</si>
  <si>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</si>
  <si>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</si>
  <si>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</si>
  <si>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</si>
  <si>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</si>
  <si>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</si>
  <si>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</si>
  <si>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</si>
  <si>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</si>
  <si>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</si>
  <si>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</si>
  <si>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</si>
  <si>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</si>
  <si>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</si>
  <si>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</si>
  <si>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</si>
  <si>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</si>
  <si>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</si>
  <si>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</si>
  <si>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</si>
  <si>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</si>
  <si>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</si>
  <si>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</si>
  <si>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</si>
  <si>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</si>
  <si>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</si>
  <si>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</si>
  <si>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</si>
  <si>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</si>
  <si>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</si>
  <si>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</si>
  <si>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</si>
  <si>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</si>
  <si>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</si>
  <si>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</si>
  <si>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</si>
  <si>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</si>
  <si>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</si>
  <si>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</si>
  <si>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</si>
  <si>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</si>
  <si>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</si>
  <si>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</si>
  <si>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</si>
  <si>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</si>
  <si>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</si>
  <si>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</si>
  <si>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</si>
  <si>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</si>
  <si>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</si>
  <si>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</si>
  <si>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</si>
  <si>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</si>
  <si>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</si>
  <si>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</si>
  <si>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</si>
  <si>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</si>
  <si>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</si>
  <si>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</si>
  <si>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</si>
  <si>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</si>
  <si>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</si>
  <si>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</si>
  <si>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</si>
  <si>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</si>
  <si>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</si>
  <si>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</si>
  <si>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</si>
  <si>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</si>
  <si>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</si>
  <si>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</si>
  <si>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</si>
  <si>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</si>
  <si>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</si>
  <si>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</si>
  <si>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</si>
  <si>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</si>
  <si>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</si>
  <si>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</si>
  <si>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</si>
  <si>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</si>
  <si>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</si>
  <si>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</si>
  <si>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</si>
  <si>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</si>
  <si>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</si>
  <si>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</si>
  <si>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</si>
  <si>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</si>
  <si>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</si>
  <si>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</si>
  <si>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</si>
  <si>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</si>
  <si>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</si>
  <si>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</si>
  <si>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</si>
  <si>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</si>
  <si>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</si>
  <si>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</si>
  <si>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</si>
  <si>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</si>
  <si>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</si>
  <si>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</si>
  <si>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</si>
  <si>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</si>
  <si>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</si>
  <si>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</si>
  <si>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</si>
  <si>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</si>
  <si>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</si>
  <si>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</si>
  <si>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</si>
  <si>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</si>
  <si>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</si>
  <si>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</si>
  <si>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</si>
  <si>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</si>
  <si>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</si>
  <si>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</si>
  <si>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</si>
  <si>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</si>
  <si>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</si>
  <si>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</si>
  <si>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</si>
  <si>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</si>
  <si>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</si>
  <si>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</si>
  <si>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</si>
  <si>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</si>
  <si>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</si>
  <si>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</si>
  <si>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</si>
  <si>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</si>
  <si>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</si>
  <si>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</si>
  <si>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</si>
  <si>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</si>
  <si>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</si>
  <si>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</si>
  <si>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</si>
  <si>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</si>
  <si>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</si>
  <si>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</si>
  <si>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</si>
  <si>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</si>
  <si>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</si>
  <si>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</si>
  <si>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</si>
  <si>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</si>
  <si>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</si>
  <si>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</si>
  <si>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</si>
  <si>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</si>
  <si>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</si>
  <si>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</si>
  <si>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</si>
  <si>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</si>
  <si>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</si>
  <si>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</si>
  <si>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</si>
  <si>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</si>
  <si>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</si>
  <si>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</si>
  <si>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</si>
  <si>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</si>
  <si>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</si>
  <si>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</si>
  <si>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</si>
  <si>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</si>
  <si>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</si>
  <si>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</si>
  <si>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</si>
  <si>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</si>
  <si>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</si>
  <si>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</si>
  <si>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</si>
  <si>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</si>
  <si>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</si>
  <si>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</si>
  <si>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</si>
  <si>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</si>
  <si>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</si>
  <si>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</si>
  <si>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</si>
  <si>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</si>
  <si>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</si>
  <si>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</si>
  <si>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</si>
  <si>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</si>
  <si>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</si>
  <si>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</si>
  <si>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</si>
  <si>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</si>
  <si>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</si>
  <si>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</si>
  <si>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</si>
  <si>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</si>
  <si>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</si>
  <si>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</si>
  <si>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</si>
  <si>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</si>
  <si>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</si>
  <si>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</si>
  <si>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</si>
  <si>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</si>
  <si>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</si>
  <si>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</si>
  <si>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</si>
  <si>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</si>
  <si>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</si>
  <si>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</si>
  <si>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</si>
  <si>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</si>
  <si>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</si>
  <si>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</si>
  <si>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</si>
  <si>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</si>
  <si>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</si>
  <si>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</si>
  <si>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</si>
  <si>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</si>
  <si>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</si>
  <si>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</si>
  <si>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</si>
  <si>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</si>
  <si>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</si>
  <si>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</si>
  <si>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</si>
  <si>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</si>
  <si>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</si>
  <si>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</si>
  <si>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</si>
  <si>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</si>
  <si>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</si>
  <si>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</si>
  <si>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</si>
  <si>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</si>
  <si>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</si>
  <si>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</si>
  <si>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</si>
  <si>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</si>
  <si>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</si>
  <si>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</si>
  <si>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</si>
  <si>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</si>
  <si>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</si>
  <si>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</si>
  <si>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</si>
  <si>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</si>
  <si>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</si>
  <si>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</si>
  <si>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</si>
  <si>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</si>
  <si>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</si>
  <si>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</si>
  <si>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</si>
  <si>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</si>
  <si>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</si>
  <si>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</si>
  <si>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</si>
  <si>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</si>
  <si>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</si>
  <si>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</si>
  <si>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</si>
  <si>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</si>
  <si>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</si>
  <si>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</si>
  <si>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</si>
  <si>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</si>
  <si>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</si>
  <si>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</si>
  <si>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</si>
  <si>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</si>
  <si>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</si>
  <si>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</si>
  <si>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</si>
  <si>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</si>
  <si>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</si>
  <si>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</si>
  <si>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</si>
  <si>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</si>
  <si>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</si>
  <si>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</si>
  <si>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</si>
  <si>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</si>
  <si>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</si>
  <si>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</si>
  <si>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</si>
  <si>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</si>
  <si>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</si>
  <si>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</si>
  <si>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</si>
  <si>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</si>
  <si>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</si>
  <si>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</si>
  <si>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</si>
  <si>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</si>
  <si>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</si>
  <si>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</si>
  <si>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</si>
  <si>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</si>
  <si>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</si>
  <si>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</si>
  <si>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</si>
  <si>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</si>
  <si>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</si>
  <si>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</si>
  <si>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</si>
  <si>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</si>
  <si>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</si>
  <si>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</si>
  <si>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</si>
  <si>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</si>
  <si>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</si>
  <si>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</si>
  <si>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</si>
  <si>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</si>
  <si>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</si>
  <si>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</si>
  <si>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</si>
  <si>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</si>
  <si>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</si>
  <si>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</si>
  <si>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</si>
  <si>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</si>
  <si>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</si>
  <si>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</si>
  <si>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</si>
  <si>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</si>
  <si>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</si>
  <si>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</si>
  <si>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</si>
  <si>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</si>
  <si>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</si>
  <si>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</si>
  <si>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</si>
  <si>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</si>
  <si>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</si>
  <si>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</si>
  <si>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</si>
  <si>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</si>
  <si>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</si>
  <si>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</si>
  <si>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</si>
  <si>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</si>
  <si>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</si>
  <si>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</si>
  <si>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</si>
  <si>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</si>
  <si>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</si>
  <si>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</si>
  <si>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</si>
  <si>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</si>
  <si>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</si>
  <si>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</si>
  <si>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</si>
  <si>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</si>
  <si>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</si>
  <si>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</si>
  <si>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</si>
  <si>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</si>
  <si>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</si>
  <si>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</si>
  <si>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</si>
  <si>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</si>
  <si>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</si>
  <si>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</si>
  <si>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</si>
  <si>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</si>
  <si>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</si>
  <si>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</si>
  <si>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</si>
  <si>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</si>
  <si>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</si>
  <si>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</si>
  <si>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</si>
  <si>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</si>
  <si>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</si>
  <si>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</si>
  <si>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</si>
  <si>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</si>
  <si>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</si>
  <si>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</si>
  <si>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</si>
  <si>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</si>
  <si>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</si>
  <si>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</si>
  <si>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</si>
  <si>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</si>
  <si>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</si>
  <si>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</si>
  <si>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</si>
  <si>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</si>
  <si>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</si>
  <si>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</si>
  <si>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</si>
  <si>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</si>
  <si>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</si>
  <si>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</si>
  <si>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</si>
  <si>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</si>
  <si>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</si>
  <si>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</si>
  <si>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</si>
  <si>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</si>
  <si>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</si>
  <si>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</si>
  <si>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</si>
  <si>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</si>
  <si>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</si>
  <si>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</si>
  <si>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</si>
  <si>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</si>
  <si>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</si>
  <si>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</si>
  <si>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</si>
  <si>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</si>
  <si>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</si>
  <si>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</si>
  <si>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</si>
  <si>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</si>
  <si>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</si>
  <si>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</si>
  <si>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</si>
  <si>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</si>
  <si>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</si>
  <si>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</si>
  <si>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</si>
  <si>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</si>
  <si>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</si>
  <si>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</si>
  <si>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</si>
  <si>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</si>
  <si>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</si>
  <si>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</si>
  <si>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</si>
  <si>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</si>
  <si>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</si>
  <si>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</si>
  <si>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</si>
  <si>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</si>
  <si>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</si>
  <si>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</si>
  <si>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</si>
  <si>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</si>
  <si>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</si>
  <si>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</si>
  <si>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</si>
  <si>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</si>
  <si>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</si>
  <si>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</si>
  <si>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</si>
  <si>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</si>
  <si>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</si>
  <si>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</si>
  <si>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</si>
  <si>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</si>
  <si>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</si>
  <si>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</si>
  <si>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</si>
  <si>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</si>
  <si>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</si>
  <si>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</si>
  <si>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</si>
  <si>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</si>
  <si>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</si>
  <si>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</si>
  <si>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</si>
  <si>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</si>
  <si>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</si>
  <si>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</si>
  <si>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</si>
  <si>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</si>
  <si>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</si>
  <si>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</si>
  <si>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</si>
  <si>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</si>
  <si>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</si>
  <si>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</si>
  <si>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</si>
  <si>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</si>
  <si>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</si>
  <si>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</si>
  <si>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</si>
  <si>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</si>
  <si>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</si>
  <si>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</si>
  <si>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</si>
  <si>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</si>
  <si>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</si>
  <si>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</si>
  <si>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</si>
  <si>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</si>
  <si>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</si>
  <si>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</si>
  <si>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</si>
  <si>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</si>
  <si>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</si>
  <si>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</si>
  <si>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</si>
  <si>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</si>
  <si>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</si>
  <si>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</si>
  <si>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</si>
  <si>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</si>
  <si>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</si>
  <si>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</si>
  <si>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</si>
  <si>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</si>
  <si>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</si>
  <si>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</si>
  <si>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</si>
  <si>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</si>
  <si>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</si>
  <si>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</si>
  <si>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</si>
  <si>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</si>
  <si>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</si>
  <si>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</si>
  <si>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</si>
  <si>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</si>
  <si>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</si>
  <si>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</si>
  <si>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</si>
  <si>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</si>
  <si>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</si>
  <si>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</si>
  <si>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</si>
  <si>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</si>
  <si>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</si>
  <si>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</si>
  <si>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</si>
  <si>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</si>
  <si>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</si>
  <si>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</si>
  <si>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</si>
  <si>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</si>
  <si>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</si>
  <si>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</si>
  <si>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</si>
  <si>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</si>
  <si>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</si>
  <si>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</si>
  <si>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</si>
  <si>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</si>
  <si>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</si>
  <si>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</si>
  <si>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</si>
  <si>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</si>
  <si>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</si>
  <si>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</si>
  <si>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</si>
  <si>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</si>
  <si>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</si>
  <si>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</si>
  <si>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</si>
  <si>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</si>
  <si>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</si>
  <si>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</si>
  <si>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</si>
  <si>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</si>
  <si>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</si>
  <si>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</si>
  <si>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</si>
  <si>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</si>
  <si>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</si>
  <si>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</si>
  <si>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</si>
  <si>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</si>
  <si>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</si>
  <si>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</si>
  <si>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</si>
  <si>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</si>
  <si>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</si>
  <si>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</si>
  <si>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</si>
  <si>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</si>
  <si>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</si>
  <si>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</si>
  <si>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</si>
  <si>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</si>
  <si>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</si>
  <si>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</si>
  <si>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</si>
  <si>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</si>
  <si>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</si>
  <si>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</si>
  <si>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</si>
  <si>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</si>
  <si>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</si>
  <si>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</si>
  <si>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</si>
  <si>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</si>
  <si>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</si>
  <si>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</si>
  <si>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</si>
  <si>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</si>
  <si>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</si>
  <si>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</si>
  <si>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</si>
  <si>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</si>
  <si>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</si>
  <si>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</si>
  <si>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</si>
  <si>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</si>
  <si>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</si>
  <si>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</si>
  <si>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</si>
  <si>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</si>
  <si>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</si>
  <si>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</si>
  <si>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</si>
  <si>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</si>
  <si>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</si>
  <si>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</si>
  <si>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</si>
  <si>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</si>
  <si>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</si>
  <si>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</si>
  <si>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</si>
  <si>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</si>
  <si>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</si>
  <si>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</si>
  <si>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</si>
  <si>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</si>
  <si>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</si>
  <si>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</si>
  <si>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</si>
  <si>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</si>
  <si>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</si>
  <si>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</si>
  <si>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</si>
  <si>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</si>
  <si>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</si>
  <si>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</si>
  <si>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</si>
  <si>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</si>
  <si>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</si>
  <si>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</si>
  <si>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</si>
  <si>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</si>
  <si>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</si>
  <si>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</si>
  <si>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</si>
  <si>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</si>
  <si>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</si>
  <si>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</si>
  <si>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</si>
  <si>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</si>
  <si>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</si>
  <si>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</si>
  <si>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</si>
  <si>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</si>
  <si>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</si>
  <si>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</si>
  <si>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</si>
  <si>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</si>
  <si>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</si>
  <si>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</si>
  <si>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</si>
  <si>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</si>
  <si>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</si>
  <si>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</si>
  <si>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</si>
  <si>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</si>
  <si>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</si>
  <si>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</si>
  <si>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</si>
  <si>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</si>
  <si>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</si>
  <si>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</si>
  <si>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</si>
  <si>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</si>
  <si>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</si>
  <si>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</si>
  <si>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</si>
  <si>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</si>
  <si>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</si>
  <si>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</si>
  <si>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</si>
  <si>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</si>
  <si>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</si>
  <si>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</si>
  <si>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</si>
  <si>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</si>
  <si>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</si>
  <si>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</si>
  <si>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</si>
  <si>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</si>
  <si>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</si>
  <si>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</si>
  <si>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</si>
  <si>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</si>
  <si>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</si>
  <si>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</si>
  <si>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</si>
  <si>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</si>
  <si>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</si>
  <si>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</si>
  <si>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</si>
  <si>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</si>
  <si>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</si>
  <si>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</si>
  <si>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</si>
  <si>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</si>
  <si>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</si>
  <si>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</si>
  <si>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</si>
  <si>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</si>
  <si>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</si>
  <si>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</si>
  <si>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</si>
  <si>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</si>
  <si>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</si>
  <si>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</si>
  <si>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</si>
  <si>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</si>
  <si>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</si>
  <si>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</si>
  <si>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</si>
  <si>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</si>
  <si>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</si>
  <si>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</si>
  <si>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</si>
  <si>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</si>
  <si>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</si>
  <si>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</si>
  <si>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</si>
  <si>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</si>
  <si>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</si>
  <si>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</si>
  <si>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</si>
  <si>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</si>
  <si>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</si>
  <si>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</si>
  <si>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</si>
  <si>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</si>
  <si>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</si>
  <si>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</si>
  <si>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</si>
  <si>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</si>
  <si>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</si>
  <si>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</si>
  <si>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</si>
  <si>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</si>
  <si>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</si>
  <si>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</si>
  <si>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</si>
  <si>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</si>
  <si>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</si>
  <si>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</si>
  <si>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</si>
  <si>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</si>
  <si>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</si>
  <si>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</si>
  <si>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</si>
  <si>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</si>
  <si>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</si>
  <si>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</si>
  <si>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</si>
  <si>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</si>
  <si>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</si>
  <si>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</si>
  <si>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</si>
  <si>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</si>
  <si>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</si>
  <si>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</si>
  <si>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</si>
  <si>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</si>
  <si>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</si>
  <si>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</si>
  <si>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</si>
  <si>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</si>
  <si>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</si>
  <si>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</si>
  <si>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</si>
  <si>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</si>
  <si>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</si>
  <si>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</si>
  <si>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</si>
  <si>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</si>
  <si>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</si>
  <si>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</si>
  <si>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</si>
  <si>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</si>
  <si>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</si>
  <si>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</si>
  <si>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</si>
  <si>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</si>
  <si>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</si>
  <si>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</si>
  <si>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</si>
  <si>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</si>
  <si>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</si>
  <si>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</si>
  <si>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</si>
  <si>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</si>
  <si>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</si>
  <si>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</si>
  <si>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</si>
  <si>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</si>
  <si>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</si>
  <si>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</si>
  <si>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</si>
  <si>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</si>
  <si>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</si>
  <si>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</si>
  <si>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</si>
  <si>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</si>
  <si>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</si>
  <si>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</si>
  <si>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</si>
  <si>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</si>
  <si>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</si>
  <si>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</si>
  <si>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</si>
  <si>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</si>
  <si>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</si>
  <si>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</si>
  <si>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</si>
  <si>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</si>
  <si>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</si>
  <si>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</si>
  <si>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</si>
  <si>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</si>
  <si>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</si>
  <si>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</si>
  <si>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</si>
  <si>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</si>
  <si>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</si>
  <si>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</si>
  <si>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</si>
  <si>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</si>
  <si>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</si>
  <si>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</si>
  <si>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</si>
  <si>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</si>
  <si>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</si>
  <si>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</si>
  <si>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</si>
  <si>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</si>
  <si>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</si>
  <si>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</si>
  <si>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</si>
  <si>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</si>
  <si>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</si>
  <si>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</si>
  <si>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</si>
  <si>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</si>
  <si>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</si>
  <si>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</si>
  <si>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</si>
  <si>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</si>
  <si>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</si>
  <si>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</si>
  <si>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</si>
  <si>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</si>
  <si>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</si>
  <si>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</si>
  <si>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</si>
  <si>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</si>
  <si>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</si>
  <si>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</si>
  <si>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</si>
  <si>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</si>
  <si>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</si>
  <si>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</si>
  <si>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</si>
  <si>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</si>
  <si>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</si>
  <si>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</si>
  <si>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</si>
  <si>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</si>
  <si>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</si>
  <si>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</si>
  <si>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</si>
  <si>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</si>
  <si>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</si>
  <si>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</si>
  <si>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</si>
  <si>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</si>
  <si>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</si>
  <si>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</si>
  <si>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</si>
  <si>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</si>
  <si>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</si>
  <si>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</si>
  <si>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</si>
  <si>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</si>
  <si>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</si>
  <si>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</si>
  <si>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</si>
  <si>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</si>
  <si>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</si>
  <si>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</si>
  <si>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</si>
  <si>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</si>
  <si>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</si>
  <si>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</si>
  <si>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</si>
  <si>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</si>
  <si>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</si>
  <si>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</si>
  <si>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</si>
  <si>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</si>
  <si>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</si>
  <si>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</si>
  <si>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</si>
  <si>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</si>
  <si>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</si>
  <si>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</si>
  <si>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</si>
  <si>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</si>
  <si>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</si>
  <si>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</si>
  <si>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</si>
  <si>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</si>
  <si>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</si>
  <si>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</si>
  <si>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</si>
  <si>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</si>
  <si>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</si>
  <si>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</si>
  <si>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</si>
  <si>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</si>
  <si>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</si>
  <si>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</si>
  <si>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</si>
  <si>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</si>
  <si>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</si>
  <si>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</si>
  <si>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</si>
  <si>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</si>
  <si>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</si>
  <si>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</si>
  <si>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</si>
  <si>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</si>
  <si>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</si>
  <si>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</si>
  <si>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</si>
  <si>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</si>
  <si>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</si>
  <si>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</si>
  <si>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</si>
  <si>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</si>
  <si>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</si>
  <si>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</si>
  <si>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</si>
  <si>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</si>
  <si>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</si>
  <si>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</si>
  <si>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</si>
  <si>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</si>
  <si>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</si>
  <si>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</si>
  <si>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</si>
  <si>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</si>
  <si>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</si>
  <si>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</si>
  <si>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</si>
  <si>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</si>
  <si>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</si>
  <si>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</si>
  <si>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</si>
  <si>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</si>
  <si>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</si>
  <si>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</si>
  <si>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</si>
  <si>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</si>
  <si>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</si>
  <si>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</si>
  <si>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</si>
  <si>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</si>
  <si>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</si>
  <si>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</si>
  <si>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</si>
  <si>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</si>
  <si>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</si>
  <si>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</si>
  <si>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</si>
  <si>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</si>
  <si>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</si>
  <si>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</si>
  <si>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</si>
  <si>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</si>
  <si>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</si>
  <si>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</si>
  <si>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</si>
  <si>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</si>
  <si>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</si>
  <si>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</si>
  <si>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</si>
  <si>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</si>
  <si>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</si>
  <si>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</si>
  <si>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</si>
  <si>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</si>
  <si>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</si>
  <si>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</si>
  <si>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</si>
  <si>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</si>
  <si>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</si>
  <si>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</si>
  <si>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</si>
  <si>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</si>
  <si>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</si>
  <si>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</si>
  <si>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</si>
  <si>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</si>
  <si>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</si>
  <si>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</si>
  <si>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</si>
  <si>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</si>
  <si>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</si>
  <si>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</si>
  <si>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</si>
  <si>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</si>
  <si>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</si>
  <si>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</si>
  <si>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</si>
  <si>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</si>
  <si>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</si>
  <si>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</si>
  <si>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</si>
  <si>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</si>
  <si>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</si>
  <si>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</si>
  <si>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</si>
  <si>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</si>
  <si>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</si>
  <si>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</si>
  <si>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</si>
  <si>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</si>
  <si>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</si>
  <si>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</si>
  <si>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</si>
  <si>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</si>
  <si>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</si>
  <si>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</si>
  <si>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</si>
  <si>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</si>
  <si>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</si>
  <si>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</si>
  <si>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</si>
  <si>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</si>
  <si>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</si>
  <si>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</si>
  <si>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</si>
  <si>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</si>
  <si>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</si>
  <si>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</si>
  <si>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</si>
  <si>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</si>
  <si>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</si>
  <si>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</si>
  <si>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</si>
  <si>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</si>
  <si>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</si>
  <si>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</si>
  <si>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</si>
  <si>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</si>
  <si>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</si>
  <si>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</si>
  <si>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</si>
  <si>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</si>
  <si>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</si>
  <si>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</si>
  <si>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</si>
  <si>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</si>
  <si>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</si>
  <si>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</si>
  <si>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</si>
  <si>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</si>
  <si>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</si>
  <si>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</si>
  <si>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</si>
  <si>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</si>
  <si>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</si>
  <si>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</si>
  <si>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</si>
  <si>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</si>
  <si>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</si>
  <si>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</si>
  <si>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</si>
  <si>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</si>
  <si>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</si>
  <si>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</si>
  <si>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</si>
  <si>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</si>
  <si>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</si>
  <si>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</si>
  <si>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</si>
  <si>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</si>
  <si>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</si>
  <si>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</si>
  <si>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</si>
  <si>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</si>
  <si>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</si>
  <si>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</si>
  <si>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</si>
  <si>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</si>
  <si>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</si>
  <si>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</si>
  <si>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</si>
  <si>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</si>
  <si>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</si>
  <si>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</si>
  <si>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</si>
  <si>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</si>
  <si>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</si>
  <si>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</si>
  <si>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</si>
  <si>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</si>
  <si>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</si>
  <si>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</si>
  <si>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</si>
  <si>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</si>
  <si>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</si>
  <si>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</si>
  <si>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</si>
  <si>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</si>
  <si>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</si>
  <si>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</si>
  <si>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</si>
  <si>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</si>
  <si>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</si>
  <si>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</si>
  <si>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</si>
  <si>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</si>
  <si>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</si>
  <si>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</si>
  <si>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</si>
  <si>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</si>
  <si>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</si>
  <si>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</si>
  <si>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</si>
  <si>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</si>
  <si>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</si>
  <si>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</si>
  <si>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</si>
  <si>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</si>
  <si>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</si>
  <si>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</si>
  <si>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</si>
  <si>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</si>
  <si>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</si>
  <si>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</si>
  <si>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</si>
  <si>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</si>
  <si>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</si>
  <si>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</si>
  <si>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</si>
  <si>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</si>
  <si>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</si>
  <si>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</si>
  <si>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</si>
  <si>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</si>
  <si>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</si>
  <si>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</si>
  <si>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</si>
  <si>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</si>
  <si>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</si>
  <si>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</si>
  <si>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</si>
  <si>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</si>
  <si>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</si>
  <si>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</si>
  <si>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</si>
  <si>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</si>
  <si>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</si>
  <si>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</si>
  <si>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</si>
  <si>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</si>
  <si>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</si>
  <si>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</si>
  <si>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</si>
  <si>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</si>
  <si>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</si>
  <si>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</si>
  <si>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</si>
  <si>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</si>
  <si>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</si>
  <si>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</si>
  <si>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</si>
  <si>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</si>
  <si>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</si>
  <si>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</si>
  <si>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</si>
  <si>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</si>
  <si>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</si>
  <si>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</si>
  <si>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</si>
  <si>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</si>
  <si>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</si>
  <si>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</si>
  <si>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</si>
  <si>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</si>
  <si>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</si>
  <si>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</si>
  <si>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</si>
  <si>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</si>
  <si>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</si>
  <si>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</si>
  <si>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</si>
  <si>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</si>
  <si>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</si>
  <si>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</si>
  <si>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</si>
  <si>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</si>
  <si>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</si>
  <si>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</si>
  <si>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</si>
  <si>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</si>
  <si>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</si>
  <si>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</si>
  <si>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</si>
  <si>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</si>
  <si>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</si>
  <si>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</si>
  <si>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</si>
  <si>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</si>
  <si>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</si>
  <si>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</si>
  <si>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</si>
  <si>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</si>
  <si>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</si>
  <si>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</si>
  <si>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</si>
  <si>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</si>
  <si>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</si>
  <si>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</si>
  <si>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</si>
  <si>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</si>
  <si>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</si>
  <si>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</si>
  <si>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</si>
  <si>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</si>
  <si>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</si>
  <si>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</si>
  <si>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</si>
  <si>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</si>
  <si>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</si>
  <si>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</si>
  <si>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</si>
  <si>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</si>
  <si>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</si>
  <si>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</si>
  <si>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</si>
  <si>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</si>
  <si>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</si>
  <si>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</si>
  <si>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</si>
  <si>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</si>
  <si>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</si>
  <si>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</si>
  <si>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</si>
  <si>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</si>
  <si>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</si>
  <si>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</si>
  <si>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</si>
  <si>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</si>
  <si>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</si>
  <si>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</si>
  <si>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</si>
  <si>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</si>
  <si>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</si>
  <si>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</si>
  <si>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</si>
  <si>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</si>
  <si>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</si>
  <si>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</si>
  <si>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</si>
  <si>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</si>
  <si>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</si>
  <si>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</si>
  <si>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</si>
  <si>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</si>
  <si>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</si>
  <si>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</si>
  <si>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</si>
  <si>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</si>
  <si>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</si>
  <si>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</si>
  <si>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</si>
  <si>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</si>
  <si>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</si>
  <si>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</si>
  <si>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</si>
  <si>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</si>
  <si>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</si>
  <si>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</si>
  <si>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</si>
  <si>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</si>
  <si>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</si>
  <si>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</si>
  <si>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</si>
  <si>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</si>
  <si>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</si>
  <si>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</si>
  <si>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</si>
  <si>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</si>
  <si>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</si>
  <si>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</si>
  <si>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</si>
  <si>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</si>
  <si>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</si>
  <si>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</si>
  <si>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</si>
  <si>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</si>
  <si>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</si>
  <si>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</si>
  <si>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</si>
  <si>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</si>
  <si>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</si>
  <si>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</si>
  <si>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</si>
  <si>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</si>
  <si>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</si>
  <si>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</si>
  <si>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</si>
  <si>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</si>
  <si>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</si>
  <si>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</si>
  <si>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</si>
  <si>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</si>
  <si>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</si>
  <si>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</si>
  <si>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</si>
  <si>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</si>
  <si>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</si>
  <si>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</si>
  <si>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</si>
  <si>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</si>
  <si>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</si>
  <si>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</si>
  <si>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</si>
  <si>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</si>
  <si>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</si>
  <si>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</si>
  <si>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</si>
  <si>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</si>
  <si>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</si>
  <si>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</si>
  <si>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</si>
  <si>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</si>
  <si>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</si>
  <si>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</si>
  <si>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</si>
  <si>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</si>
  <si>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</si>
  <si>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</si>
  <si>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</si>
  <si>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</si>
  <si>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</si>
  <si>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</si>
  <si>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</si>
  <si>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</si>
  <si>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</si>
  <si>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</si>
  <si>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</si>
  <si>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</si>
  <si>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</si>
  <si>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</si>
  <si>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</si>
  <si>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</si>
  <si>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</si>
  <si>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</si>
  <si>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</si>
  <si>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</si>
  <si>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</si>
  <si>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</si>
  <si>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</si>
  <si>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</si>
  <si>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</si>
  <si>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</si>
  <si>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</si>
  <si>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</si>
  <si>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</si>
  <si>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</si>
  <si>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</si>
  <si>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</si>
  <si>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</si>
  <si>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</si>
  <si>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</si>
  <si>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</si>
  <si>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</si>
  <si>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</si>
  <si>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</si>
  <si>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</si>
  <si>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</si>
  <si>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</si>
  <si>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</si>
  <si>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</si>
  <si>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</si>
  <si>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</si>
  <si>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</si>
  <si>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</si>
  <si>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</si>
  <si>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</si>
  <si>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</si>
  <si>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</si>
  <si>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</si>
  <si>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</si>
  <si>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</si>
  <si>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</si>
  <si>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</si>
  <si>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</si>
  <si>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</si>
  <si>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</si>
  <si>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</si>
  <si>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</si>
  <si>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</si>
  <si>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</si>
  <si>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</si>
  <si>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</si>
  <si>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</si>
  <si>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</si>
  <si>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</si>
  <si>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</si>
  <si>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</si>
  <si>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</si>
  <si>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</si>
  <si>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</si>
  <si>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</si>
  <si>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</si>
  <si>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</si>
  <si>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</si>
  <si>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</si>
  <si>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</si>
  <si>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</si>
  <si>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</si>
  <si>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</si>
  <si>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</si>
  <si>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</si>
  <si>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</si>
  <si>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</si>
  <si>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</si>
  <si>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</si>
  <si>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</si>
  <si>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</si>
  <si>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</si>
  <si>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</si>
  <si>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</si>
  <si>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</si>
  <si>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</si>
  <si>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</si>
  <si>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</si>
  <si>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</si>
  <si>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</si>
  <si>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</si>
  <si>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</si>
  <si>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</si>
  <si>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</si>
  <si>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</si>
  <si>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</si>
  <si>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</si>
  <si>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</si>
  <si>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</si>
  <si>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</si>
  <si>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</si>
  <si>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</si>
  <si>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</si>
  <si>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</si>
  <si>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</si>
  <si>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</si>
  <si>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</si>
  <si>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</si>
  <si>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</si>
  <si>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</si>
  <si>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</si>
  <si>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</si>
  <si>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</si>
  <si>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</si>
  <si>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</si>
  <si>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</si>
  <si>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</si>
  <si>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</si>
  <si>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</si>
  <si>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</si>
  <si>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</si>
  <si>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</si>
  <si>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</si>
  <si>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</si>
  <si>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</si>
  <si>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</si>
  <si>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</si>
  <si>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</si>
  <si>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</si>
  <si>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</si>
  <si>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</si>
  <si>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</si>
  <si>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</si>
  <si>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</si>
  <si>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</si>
  <si>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</si>
  <si>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</si>
  <si>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</si>
  <si>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</si>
  <si>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</si>
  <si>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</si>
  <si>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</si>
  <si>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</si>
  <si>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</si>
  <si>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</si>
  <si>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</si>
  <si>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</si>
  <si>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</si>
  <si>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</si>
  <si>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</si>
  <si>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</si>
  <si>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</si>
  <si>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</si>
  <si>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</si>
  <si>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</si>
  <si>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</si>
  <si>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</si>
  <si>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</si>
  <si>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</si>
  <si>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</si>
  <si>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</si>
  <si>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</si>
  <si>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</si>
  <si>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</si>
  <si>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</si>
  <si>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</si>
  <si>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</si>
  <si>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</si>
  <si>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</si>
  <si>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</si>
  <si>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</si>
  <si>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</si>
  <si>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</si>
  <si>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</si>
  <si>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</si>
  <si>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</si>
  <si>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</si>
  <si>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</si>
  <si>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</si>
  <si>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</si>
  <si>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</si>
  <si>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</si>
  <si>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</si>
  <si>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</si>
  <si>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</si>
  <si>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</si>
  <si>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</si>
  <si>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</si>
  <si>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</si>
  <si>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</si>
  <si>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</si>
  <si>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</si>
  <si>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</si>
  <si>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</si>
  <si>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</si>
  <si>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</si>
  <si>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</si>
  <si>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</si>
  <si>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</si>
  <si>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</si>
  <si>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</si>
  <si>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</si>
  <si>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</si>
  <si>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</si>
  <si>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</si>
  <si>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</si>
  <si>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</si>
  <si>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</si>
  <si>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</si>
  <si>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</si>
  <si>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</si>
  <si>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</si>
  <si>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</si>
  <si>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</si>
  <si>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</si>
  <si>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</si>
  <si>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</si>
  <si>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</si>
  <si>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</si>
  <si>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</si>
  <si>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</si>
  <si>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</si>
  <si>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</si>
  <si>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</si>
  <si>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</si>
  <si>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</si>
  <si>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</si>
  <si>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</si>
  <si>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</si>
  <si>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</si>
  <si>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</si>
  <si>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</si>
  <si>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</si>
  <si>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</si>
  <si>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</si>
  <si>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</si>
  <si>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</si>
  <si>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</si>
  <si>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</si>
  <si>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</si>
  <si>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</si>
  <si>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</si>
  <si>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</si>
  <si>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</si>
  <si>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</si>
  <si>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</si>
  <si>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</si>
  <si>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</si>
  <si>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</si>
  <si>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</si>
  <si>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</si>
  <si>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</si>
  <si>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</si>
  <si>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</si>
  <si>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</si>
  <si>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</si>
  <si>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</si>
  <si>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</si>
  <si>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</si>
  <si>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</si>
  <si>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</si>
  <si>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</si>
  <si>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</si>
  <si>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</si>
  <si>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</si>
  <si>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</si>
  <si>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</si>
  <si>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</si>
  <si>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</si>
  <si>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</si>
  <si>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</si>
  <si>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</si>
  <si>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</si>
  <si>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</si>
  <si>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</si>
  <si>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</si>
  <si>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</si>
  <si>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</si>
  <si>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</si>
  <si>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</si>
  <si>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</si>
  <si>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</si>
  <si>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</si>
  <si>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</si>
  <si>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</si>
  <si>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</si>
  <si>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</si>
  <si>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</si>
  <si>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</si>
  <si>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</si>
  <si>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</si>
  <si>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</si>
  <si>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</si>
  <si>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</si>
  <si>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</si>
  <si>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</si>
  <si>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</si>
  <si>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</si>
  <si>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</si>
  <si>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</si>
  <si>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</si>
  <si>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</si>
  <si>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</si>
  <si>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</si>
  <si>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</si>
  <si>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</si>
  <si>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</si>
  <si>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</si>
  <si>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</si>
  <si>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</si>
  <si>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</si>
  <si>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</si>
  <si>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</si>
  <si>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</si>
  <si>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</si>
  <si>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</si>
  <si>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</si>
  <si>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</si>
  <si>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</si>
  <si>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</si>
  <si>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</si>
  <si>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</si>
  <si>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</si>
  <si>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</si>
  <si>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</si>
  <si>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</si>
  <si>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</si>
  <si>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</si>
  <si>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</si>
  <si>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</si>
  <si>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</si>
  <si>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</si>
  <si>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</si>
  <si>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</si>
  <si>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</si>
  <si>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</si>
  <si>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</si>
  <si>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</si>
  <si>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</si>
  <si>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</si>
  <si>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</si>
  <si>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</si>
  <si>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</si>
  <si>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</si>
  <si>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</si>
  <si>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</si>
  <si>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</si>
  <si>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</si>
  <si>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</si>
  <si>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</si>
  <si>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</si>
  <si>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</si>
  <si>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</si>
  <si>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</si>
  <si>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</si>
  <si>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</si>
  <si>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</si>
  <si>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</si>
  <si>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</si>
  <si>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</si>
  <si>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</si>
  <si>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</si>
  <si>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</si>
  <si>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</si>
  <si>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</si>
  <si>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</si>
  <si>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</si>
  <si>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</si>
  <si>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</si>
  <si>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</si>
  <si>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</si>
  <si>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</si>
  <si>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</si>
  <si>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</si>
  <si>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</si>
  <si>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</si>
  <si>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</si>
  <si>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</si>
  <si>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</si>
  <si>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</si>
  <si>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</si>
  <si>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</si>
  <si>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</si>
  <si>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</si>
  <si>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</si>
  <si>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</si>
  <si>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</si>
  <si>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</si>
  <si>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</si>
  <si>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</si>
  <si>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</si>
  <si>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</si>
  <si>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</si>
  <si>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</si>
  <si>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</si>
  <si>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</si>
  <si>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</si>
  <si>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</si>
  <si>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</si>
  <si>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</si>
  <si>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</si>
  <si>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</si>
  <si>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</si>
  <si>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</si>
  <si>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</si>
  <si>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</si>
  <si>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</si>
  <si>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</si>
  <si>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</si>
  <si>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</si>
  <si>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</si>
  <si>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</si>
  <si>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</si>
  <si>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</si>
  <si>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</si>
  <si>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</si>
  <si>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</si>
  <si>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</si>
  <si>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</si>
  <si>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</si>
  <si>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</si>
  <si>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</si>
  <si>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</si>
  <si>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</si>
  <si>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</si>
  <si>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</si>
  <si>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</si>
  <si>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</si>
  <si>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</si>
  <si>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</si>
  <si>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</si>
  <si>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</si>
  <si>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</si>
  <si>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</si>
  <si>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</si>
  <si>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</si>
  <si>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</si>
  <si>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</si>
  <si>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</si>
  <si>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</si>
  <si>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</si>
  <si>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</si>
  <si>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</si>
  <si>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</si>
  <si>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</si>
  <si>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</si>
  <si>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</si>
  <si>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</si>
  <si>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</si>
  <si>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</si>
  <si>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</si>
  <si>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</si>
  <si>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</si>
  <si>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</si>
  <si>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</si>
  <si>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</si>
  <si>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</si>
  <si>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</si>
  <si>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</si>
  <si>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</si>
  <si>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</si>
  <si>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</si>
  <si>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</si>
  <si>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</si>
  <si>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</si>
  <si>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</si>
  <si>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</si>
  <si>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</si>
  <si>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</si>
  <si>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</si>
  <si>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</si>
  <si>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</si>
  <si>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</si>
  <si>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</si>
  <si>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</si>
  <si>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</si>
  <si>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</si>
  <si>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</si>
  <si>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</si>
  <si>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</si>
  <si>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</si>
  <si>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</si>
  <si>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</si>
  <si>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</si>
  <si>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</si>
  <si>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</si>
  <si>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</si>
  <si>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</si>
  <si>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</si>
  <si>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</si>
  <si>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</si>
  <si>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</si>
  <si>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</si>
  <si>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</si>
  <si>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</si>
  <si>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</si>
  <si>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</si>
  <si>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</si>
  <si>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</si>
  <si>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</si>
  <si>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</si>
  <si>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</si>
  <si>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</si>
  <si>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</si>
  <si>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</si>
  <si>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</si>
  <si>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</si>
  <si>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</si>
  <si>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</si>
  <si>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</si>
  <si>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</si>
  <si>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</si>
  <si>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</si>
  <si>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</si>
  <si>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</si>
  <si>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</si>
  <si>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</si>
  <si>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</si>
  <si>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</si>
  <si>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</si>
  <si>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</si>
  <si>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</si>
  <si>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</si>
  <si>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</si>
  <si>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</si>
  <si>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</si>
  <si>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</si>
  <si>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</si>
  <si>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</si>
  <si>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</si>
  <si>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</si>
  <si>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</si>
  <si>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</si>
  <si>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</si>
  <si>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</si>
  <si>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</si>
  <si>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</si>
  <si>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</si>
  <si>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</si>
  <si>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</si>
  <si>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</si>
  <si>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</si>
  <si>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</si>
  <si>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</si>
  <si>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</si>
  <si>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</si>
  <si>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</si>
  <si>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</si>
  <si>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</si>
  <si>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</si>
  <si>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</si>
  <si>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</si>
  <si>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</si>
  <si>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</si>
  <si>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</si>
  <si>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</si>
  <si>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</si>
  <si>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</si>
  <si>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</si>
  <si>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</si>
  <si>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</si>
  <si>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</si>
  <si>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</si>
  <si>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</si>
  <si>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</si>
  <si>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</si>
  <si>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</si>
  <si>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</si>
  <si>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</si>
  <si>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</si>
  <si>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</si>
  <si>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</si>
  <si>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</si>
  <si>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</si>
  <si>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</si>
  <si>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</si>
  <si>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</si>
  <si>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</si>
  <si>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</si>
  <si>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</si>
  <si>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</si>
  <si>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</si>
  <si>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</si>
  <si>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</si>
  <si>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</si>
  <si>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</si>
  <si>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</si>
  <si>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</si>
  <si>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</si>
  <si>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</si>
  <si>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</si>
  <si>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</si>
  <si>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</si>
  <si>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</si>
  <si>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</si>
  <si>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</si>
  <si>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</si>
  <si>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</si>
  <si>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</si>
  <si>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</si>
  <si>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</si>
  <si>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</si>
  <si>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</si>
  <si>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</si>
  <si>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</si>
  <si>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</si>
  <si>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</si>
  <si>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</si>
  <si>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</si>
  <si>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</si>
  <si>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</si>
  <si>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</si>
  <si>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</si>
  <si>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</si>
  <si>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</si>
  <si>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</si>
  <si>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</si>
  <si>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</si>
  <si>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</si>
  <si>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</si>
  <si>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</si>
  <si>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</si>
  <si>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</si>
  <si>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</si>
  <si>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</si>
  <si>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</si>
  <si>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</si>
  <si>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</si>
  <si>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</si>
  <si>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</si>
  <si>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</si>
  <si>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</si>
  <si>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</si>
  <si>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</si>
  <si>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</si>
  <si>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</si>
  <si>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</si>
  <si>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</si>
  <si>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</si>
  <si>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</si>
  <si>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</si>
  <si>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</si>
  <si>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</si>
  <si>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</si>
  <si>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</si>
  <si>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</si>
  <si>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</si>
  <si>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</si>
  <si>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</si>
  <si>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</si>
  <si>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</si>
  <si>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</si>
  <si>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</si>
  <si>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</si>
  <si>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</si>
  <si>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</si>
  <si>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</si>
  <si>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</si>
  <si>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</si>
  <si>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</si>
  <si>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</si>
  <si>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</si>
  <si>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</si>
  <si>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</si>
  <si>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</si>
  <si>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</si>
  <si>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</si>
  <si>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</si>
  <si>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</si>
  <si>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</si>
  <si>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</si>
  <si>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</si>
  <si>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</si>
  <si>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</si>
  <si>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</si>
  <si>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</si>
  <si>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</si>
  <si>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</si>
  <si>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</si>
  <si>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</si>
  <si>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</si>
  <si>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</si>
  <si>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</si>
  <si>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</si>
  <si>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</si>
  <si>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</si>
  <si>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</si>
  <si>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</si>
  <si>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</si>
  <si>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</si>
  <si>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</si>
  <si>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</si>
  <si>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</si>
  <si>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</si>
  <si>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</si>
  <si>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</si>
  <si>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</si>
  <si>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</si>
  <si>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</si>
  <si>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</si>
  <si>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</si>
  <si>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</si>
  <si>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</si>
  <si>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</si>
  <si>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</si>
  <si>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</si>
  <si>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</si>
  <si>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</si>
  <si>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</si>
  <si>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</si>
  <si>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</si>
  <si>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</si>
  <si>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</si>
  <si>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</si>
  <si>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</si>
  <si>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</si>
  <si>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</si>
  <si>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</si>
  <si>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</si>
  <si>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</si>
  <si>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</si>
  <si>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</si>
  <si>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</si>
  <si>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</si>
  <si>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</si>
  <si>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</si>
  <si>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</si>
  <si>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</si>
  <si>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</si>
  <si>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</si>
  <si>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</si>
  <si>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</si>
  <si>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</si>
  <si>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</si>
  <si>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</si>
  <si>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</si>
  <si>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</si>
  <si>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</si>
  <si>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</si>
  <si>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</si>
  <si>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</si>
  <si>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</si>
  <si>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</si>
  <si>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</si>
  <si>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</si>
  <si>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</si>
  <si>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</si>
  <si>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</si>
  <si>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</si>
  <si>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</si>
  <si>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</si>
  <si>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</si>
  <si>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</si>
  <si>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</si>
  <si>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</si>
  <si>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</si>
  <si>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</si>
  <si>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</si>
  <si>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</si>
  <si>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</si>
  <si>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</si>
  <si>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</si>
  <si>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</si>
  <si>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</si>
  <si>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</si>
  <si>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</si>
  <si>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</si>
  <si>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</si>
  <si>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</si>
  <si>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</si>
  <si>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</si>
  <si>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</si>
  <si>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</si>
  <si>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</si>
  <si>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</si>
  <si>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</si>
  <si>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</si>
  <si>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</si>
  <si>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</si>
  <si>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</si>
  <si>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</si>
  <si>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</si>
  <si>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</si>
  <si>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</si>
  <si>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</si>
  <si>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</si>
  <si>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</si>
  <si>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</si>
  <si>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</si>
  <si>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</si>
  <si>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</si>
  <si>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</si>
  <si>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</si>
  <si>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</si>
  <si>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</si>
  <si>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</si>
  <si>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</si>
  <si>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</si>
  <si>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</si>
  <si>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</si>
  <si>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</si>
  <si>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</si>
  <si>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</si>
  <si>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</si>
  <si>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</si>
  <si>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</si>
  <si>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</si>
  <si>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</si>
  <si>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</si>
  <si>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</si>
  <si>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</si>
  <si>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</si>
  <si>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</si>
  <si>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</si>
  <si>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</si>
  <si>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</si>
  <si>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</si>
  <si>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</si>
  <si>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</si>
  <si>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</si>
  <si>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</si>
  <si>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</si>
  <si>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</si>
  <si>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</si>
  <si>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</si>
  <si>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</si>
  <si>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</si>
  <si>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</si>
  <si>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</si>
  <si>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</si>
  <si>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</si>
  <si>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</si>
  <si>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</si>
  <si>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</si>
  <si>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</si>
  <si>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</si>
  <si>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</si>
  <si>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</si>
  <si>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</si>
  <si>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</si>
  <si>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</si>
  <si>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</si>
  <si>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</si>
  <si>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</si>
  <si>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</si>
  <si>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</si>
  <si>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</si>
  <si>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</si>
  <si>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</si>
  <si>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</si>
  <si>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</si>
  <si>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</si>
  <si>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</si>
  <si>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</si>
  <si>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</si>
  <si>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</si>
  <si>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</si>
  <si>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</si>
  <si>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</si>
  <si>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</si>
  <si>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</si>
  <si>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</si>
  <si>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</si>
  <si>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</si>
  <si>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</si>
  <si>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</si>
  <si>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</si>
  <si>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</si>
  <si>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</si>
  <si>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</si>
  <si>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</si>
  <si>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</si>
  <si>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</si>
  <si>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</si>
  <si>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</si>
  <si>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</si>
  <si>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</si>
  <si>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</si>
  <si>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</si>
  <si>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</si>
  <si>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</si>
  <si>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</si>
  <si>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</si>
  <si>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</si>
  <si>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</si>
  <si>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</si>
  <si>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</si>
  <si>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</si>
  <si>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</si>
  <si>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</si>
  <si>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</si>
  <si>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</si>
  <si>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</si>
  <si>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</si>
  <si>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</si>
  <si>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</si>
  <si>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</si>
  <si>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</si>
  <si>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</si>
  <si>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</si>
  <si>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</si>
  <si>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</si>
  <si>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</si>
  <si>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</si>
  <si>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</si>
  <si>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</si>
  <si>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</si>
  <si>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</si>
  <si>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</si>
  <si>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</si>
  <si>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</si>
  <si>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</si>
  <si>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</si>
  <si>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</si>
  <si>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</si>
  <si>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</si>
  <si>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</si>
  <si>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</si>
  <si>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</si>
  <si>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</si>
  <si>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</si>
  <si>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</si>
  <si>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</si>
  <si>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</si>
  <si>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</si>
  <si>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</si>
  <si>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</si>
  <si>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</si>
  <si>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</si>
  <si>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</si>
  <si>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</si>
  <si>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</si>
  <si>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</si>
  <si>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</si>
  <si>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</si>
  <si>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</si>
  <si>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</si>
  <si>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</si>
  <si>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</si>
  <si>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</si>
  <si>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</si>
  <si>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</si>
  <si>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</si>
  <si>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</si>
  <si>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</si>
  <si>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</si>
  <si>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</si>
  <si>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</si>
  <si>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</si>
  <si>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</si>
  <si>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</si>
  <si>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</si>
  <si>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</si>
  <si>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</si>
  <si>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</si>
  <si>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</si>
  <si>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</si>
  <si>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</si>
  <si>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</si>
  <si>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</si>
  <si>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</si>
  <si>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</si>
  <si>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</si>
  <si>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</si>
  <si>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</si>
  <si>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</si>
  <si>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</si>
  <si>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</si>
  <si>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</si>
  <si>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</si>
  <si>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</si>
  <si>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</si>
  <si>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</si>
  <si>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</si>
  <si>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</si>
  <si>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</si>
  <si>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</si>
  <si>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</si>
  <si>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</si>
  <si>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</si>
  <si>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</si>
  <si>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</si>
  <si>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</si>
  <si>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</si>
  <si>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</si>
  <si>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</si>
  <si>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</si>
  <si>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</si>
  <si>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</si>
  <si>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</si>
  <si>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</si>
  <si>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</si>
  <si>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</si>
  <si>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</si>
  <si>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</si>
  <si>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</si>
  <si>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</si>
  <si>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</si>
  <si>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</si>
  <si>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</si>
  <si>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</si>
  <si>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</si>
  <si>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</si>
  <si>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</si>
  <si>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</si>
  <si>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</si>
  <si>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</si>
  <si>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</si>
  <si>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</si>
  <si>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</si>
  <si>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</si>
  <si>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</si>
  <si>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</si>
  <si>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</si>
  <si>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</si>
  <si>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</si>
  <si>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</si>
  <si>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</si>
  <si>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</si>
  <si>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</si>
  <si>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</si>
  <si>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</si>
  <si>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</si>
  <si>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</si>
  <si>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</si>
  <si>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</si>
  <si>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</si>
  <si>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</si>
  <si>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</si>
  <si>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</si>
  <si>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</si>
  <si>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</si>
  <si>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</si>
  <si>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</si>
  <si>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</si>
  <si>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</si>
  <si>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</si>
  <si>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</si>
  <si>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</si>
  <si>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</si>
  <si>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</si>
  <si>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</si>
  <si>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</si>
  <si>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</si>
  <si>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</si>
  <si>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</si>
  <si>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</si>
  <si>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</si>
  <si>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</si>
  <si>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</si>
  <si>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</si>
  <si>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</si>
  <si>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</si>
  <si>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</si>
  <si>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</si>
  <si>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</si>
  <si>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</si>
  <si>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</si>
  <si>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</si>
  <si>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</si>
  <si>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</si>
  <si>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</si>
  <si>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</si>
  <si>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</si>
  <si>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</si>
  <si>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</si>
  <si>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</si>
  <si>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</si>
  <si>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</si>
  <si>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</si>
  <si>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</si>
  <si>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</si>
  <si>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</si>
  <si>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</si>
  <si>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</si>
  <si>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</si>
  <si>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</si>
  <si>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</si>
  <si>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</si>
  <si>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</si>
  <si>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</si>
  <si>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</si>
  <si>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</si>
  <si>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</si>
  <si>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</si>
  <si>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</si>
  <si>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</si>
  <si>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</si>
  <si>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</si>
  <si>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</si>
  <si>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</si>
  <si>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</si>
  <si>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</si>
  <si>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</si>
  <si>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</si>
  <si>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</si>
  <si>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</si>
  <si>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</si>
  <si>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</si>
  <si>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</si>
  <si>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</si>
  <si>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</si>
  <si>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</si>
  <si>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</si>
  <si>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</si>
  <si>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</si>
  <si>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</si>
  <si>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</si>
  <si>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</si>
  <si>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</si>
  <si>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</si>
  <si>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</si>
  <si>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</si>
  <si>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</si>
  <si>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</si>
  <si>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</si>
  <si>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</si>
  <si>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</si>
  <si>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</si>
  <si>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</si>
  <si>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</si>
  <si>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</si>
  <si>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</si>
  <si>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</si>
  <si>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</si>
  <si>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</si>
  <si>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</si>
  <si>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</si>
  <si>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</si>
  <si>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</si>
  <si>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</si>
  <si>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</si>
  <si>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</si>
  <si>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</si>
  <si>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</si>
  <si>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</si>
  <si>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</si>
  <si>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</si>
  <si>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</si>
  <si>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</si>
  <si>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</si>
  <si>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</si>
  <si>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</si>
  <si>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</si>
  <si>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</si>
  <si>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</si>
  <si>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</si>
  <si>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</si>
  <si>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</si>
  <si>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</si>
  <si>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</si>
  <si>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</si>
  <si>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</si>
  <si>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</si>
  <si>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</si>
  <si>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</si>
  <si>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</si>
  <si>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</si>
  <si>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</si>
  <si>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</si>
  <si>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</si>
  <si>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</si>
  <si>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</si>
  <si>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</si>
  <si>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</si>
  <si>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</si>
  <si>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</si>
  <si>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</si>
  <si>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</si>
  <si>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</si>
  <si>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</si>
  <si>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</si>
  <si>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</si>
  <si>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</si>
  <si>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</si>
  <si>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</si>
  <si>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</si>
  <si>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</si>
  <si>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</si>
  <si>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</si>
  <si>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</si>
  <si>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</si>
  <si>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</si>
  <si>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</si>
  <si>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</si>
  <si>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</si>
  <si>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</si>
  <si>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</si>
  <si>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</si>
  <si>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</si>
  <si>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</si>
  <si>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</si>
  <si>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</si>
  <si>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</si>
  <si>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</si>
  <si>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</si>
  <si>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</si>
  <si>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</si>
  <si>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</si>
  <si>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</si>
  <si>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</si>
  <si>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</si>
  <si>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</si>
  <si>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</si>
  <si>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</si>
  <si>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</si>
  <si>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</si>
  <si>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</si>
  <si>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</si>
  <si>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</si>
  <si>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</si>
  <si>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</si>
  <si>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</si>
  <si>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</si>
  <si>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</si>
  <si>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</si>
  <si>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</si>
  <si>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</si>
  <si>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</si>
  <si>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</si>
  <si>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</si>
  <si>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</si>
  <si>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</si>
  <si>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</si>
  <si>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</si>
  <si>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</si>
  <si>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</si>
  <si>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</si>
  <si>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</si>
  <si>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</si>
  <si>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</si>
  <si>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</si>
  <si>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</si>
  <si>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</si>
  <si>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</si>
  <si>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</si>
  <si>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</si>
  <si>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</si>
  <si>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</si>
  <si>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</si>
  <si>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</si>
  <si>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</si>
  <si>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</si>
  <si>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</si>
  <si>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</si>
  <si>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</si>
  <si>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</si>
  <si>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</si>
  <si>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</si>
  <si>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</si>
  <si>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</si>
  <si>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</si>
  <si>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</si>
  <si>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</si>
  <si>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</si>
  <si>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</si>
  <si>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</si>
  <si>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</si>
  <si>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</si>
  <si>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</si>
  <si>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</si>
  <si>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</si>
  <si>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</si>
  <si>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</si>
  <si>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</si>
  <si>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</si>
  <si>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</si>
  <si>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</si>
  <si>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</si>
  <si>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</si>
  <si>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</si>
  <si>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</si>
  <si>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</si>
  <si>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</si>
  <si>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</si>
  <si>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</si>
  <si>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</si>
  <si>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</si>
  <si>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</si>
  <si>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</si>
  <si>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</si>
  <si>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</si>
  <si>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</si>
  <si>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</si>
  <si>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</si>
  <si>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</si>
  <si>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</si>
  <si>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</si>
  <si>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</si>
  <si>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</si>
  <si>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</si>
  <si>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</si>
  <si>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</si>
  <si>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</si>
  <si>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</si>
  <si>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</si>
  <si>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</si>
  <si>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</si>
  <si>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</si>
  <si>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</si>
  <si>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</si>
  <si>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</si>
  <si>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</si>
  <si>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</si>
  <si>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</si>
  <si>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</si>
  <si>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</si>
  <si>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</si>
  <si>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</si>
  <si>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</si>
  <si>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</si>
  <si>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</si>
  <si>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</si>
  <si>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</si>
  <si>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</si>
  <si>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</si>
  <si>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</si>
  <si>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</si>
  <si>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</si>
  <si>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</si>
  <si>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</si>
  <si>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</si>
  <si>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</si>
  <si>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</si>
  <si>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</si>
  <si>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</si>
  <si>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</si>
  <si>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</si>
  <si>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</si>
  <si>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</si>
  <si>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</si>
  <si>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</si>
  <si>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</si>
  <si>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</si>
  <si>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</si>
  <si>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</si>
  <si>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</si>
  <si>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</si>
  <si>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</si>
  <si>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</si>
  <si>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</si>
  <si>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</si>
  <si>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</si>
  <si>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</si>
  <si>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</si>
  <si>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</si>
  <si>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</si>
  <si>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</si>
  <si>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</si>
  <si>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</si>
  <si>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</si>
  <si>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</si>
  <si>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</si>
  <si>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</si>
  <si>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</si>
  <si>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</si>
  <si>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</si>
  <si>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</si>
  <si>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</si>
  <si>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</si>
  <si>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</si>
  <si>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</si>
  <si>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</si>
  <si>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</si>
  <si>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</si>
  <si>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</si>
  <si>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</si>
  <si>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</si>
  <si>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</si>
  <si>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</si>
  <si>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</si>
  <si>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</si>
  <si>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</si>
  <si>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</si>
  <si>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</si>
  <si>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</si>
  <si>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</si>
  <si>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</si>
  <si>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</si>
  <si>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</si>
  <si>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</si>
  <si>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</si>
  <si>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</si>
  <si>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</si>
  <si>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</si>
  <si>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</si>
  <si>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</si>
  <si>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</si>
  <si>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</si>
  <si>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</si>
  <si>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</si>
  <si>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</si>
  <si>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</si>
  <si>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</si>
  <si>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</si>
  <si>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</si>
  <si>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</si>
  <si>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</si>
  <si>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</si>
  <si>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</si>
  <si>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</si>
  <si>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</si>
  <si>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</si>
  <si>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</si>
  <si>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</si>
  <si>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</si>
  <si>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</si>
  <si>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</si>
  <si>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</si>
  <si>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</si>
  <si>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</si>
  <si>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</si>
  <si>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</si>
  <si>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</si>
  <si>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</si>
  <si>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</si>
  <si>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</si>
  <si>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</si>
  <si>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</si>
  <si>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</si>
  <si>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</si>
  <si>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</si>
  <si>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</si>
  <si>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</si>
  <si>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</si>
  <si>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</si>
  <si>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</si>
  <si>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</si>
  <si>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</si>
  <si>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</si>
  <si>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</si>
  <si>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</si>
  <si>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</si>
  <si>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</si>
  <si>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</si>
  <si>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</si>
  <si>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</si>
  <si>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</si>
  <si>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</si>
  <si>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</si>
  <si>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</si>
  <si>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</si>
  <si>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</si>
  <si>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</si>
  <si>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</si>
  <si>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</si>
  <si>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</si>
  <si>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</si>
  <si>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</si>
  <si>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</si>
  <si>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</si>
  <si>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</si>
  <si>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</si>
  <si>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</si>
  <si>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</si>
  <si>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</si>
  <si>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</si>
  <si>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</si>
  <si>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</si>
  <si>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</si>
  <si>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</si>
  <si>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</si>
  <si>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</si>
  <si>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</si>
  <si>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</si>
  <si>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</si>
  <si>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</si>
  <si>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</si>
  <si>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</si>
  <si>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</si>
  <si>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</si>
  <si>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</si>
  <si>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</si>
  <si>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</si>
  <si>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</si>
  <si>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</si>
  <si>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</si>
  <si>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</si>
  <si>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</si>
  <si>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</si>
  <si>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</si>
  <si>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</si>
  <si>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</si>
  <si>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</si>
  <si>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</si>
  <si>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</si>
  <si>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</si>
  <si>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</si>
  <si>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</si>
  <si>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</si>
  <si>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</si>
  <si>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</si>
  <si>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</si>
  <si>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</si>
  <si>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</si>
  <si>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</si>
  <si>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</si>
  <si>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</si>
  <si>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</si>
  <si>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</si>
  <si>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</si>
  <si>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</si>
  <si>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</si>
  <si>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</si>
  <si>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</si>
  <si>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</si>
  <si>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</si>
  <si>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</si>
  <si>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</si>
  <si>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</si>
  <si>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</si>
  <si>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</si>
  <si>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</si>
  <si>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</si>
  <si>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</si>
  <si>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</si>
  <si>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</si>
  <si>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</si>
  <si>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</si>
  <si>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</si>
  <si>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</si>
  <si>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</si>
  <si>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</si>
  <si>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</si>
  <si>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</si>
  <si>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</si>
  <si>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</si>
  <si>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</si>
  <si>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</si>
  <si>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</si>
  <si>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</si>
  <si>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</si>
  <si>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</si>
  <si>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</si>
  <si>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</si>
  <si>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</si>
  <si>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</si>
  <si>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</si>
  <si>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</si>
  <si>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</si>
  <si>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</si>
  <si>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</si>
  <si>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</si>
  <si>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</si>
  <si>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</si>
  <si>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</si>
  <si>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</si>
  <si>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</si>
  <si>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</si>
  <si>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</si>
  <si>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</si>
  <si>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</si>
  <si>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</si>
  <si>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</si>
  <si>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</si>
  <si>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</si>
  <si>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</si>
  <si>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</si>
  <si>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</si>
  <si>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</si>
  <si>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</si>
  <si>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</si>
  <si>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</si>
  <si>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</si>
  <si>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</si>
  <si>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</si>
  <si>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</si>
  <si>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</si>
  <si>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</si>
  <si>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</si>
  <si>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</si>
  <si>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</si>
  <si>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</si>
  <si>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</si>
  <si>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</si>
  <si>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</si>
  <si>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</si>
  <si>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</si>
  <si>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</si>
  <si>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</si>
  <si>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</si>
  <si>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</si>
  <si>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</si>
  <si>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</si>
  <si>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</si>
  <si>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</si>
  <si>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</si>
  <si>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</si>
  <si>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</si>
  <si>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</si>
  <si>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</si>
  <si>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</si>
  <si>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</si>
  <si>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</si>
  <si>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</si>
  <si>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</si>
  <si>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</si>
  <si>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</si>
  <si>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</si>
  <si>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</si>
  <si>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</si>
  <si>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</si>
  <si>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</si>
  <si>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</si>
  <si>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</si>
  <si>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</si>
  <si>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</si>
  <si>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</si>
  <si>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</si>
  <si>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</si>
  <si>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</si>
  <si>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</si>
  <si>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</si>
  <si>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</si>
  <si>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</si>
  <si>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</si>
  <si>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</si>
  <si>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</si>
  <si>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</si>
  <si>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</si>
  <si>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</si>
  <si>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</si>
  <si>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</si>
  <si>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</si>
  <si>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</si>
  <si>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</si>
  <si>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</si>
  <si>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</si>
  <si>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</si>
  <si>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</si>
  <si>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</si>
  <si>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</si>
  <si>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</si>
  <si>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</si>
  <si>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</si>
  <si>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</si>
  <si>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</si>
  <si>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</si>
  <si>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</si>
  <si>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</si>
  <si>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</si>
  <si>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</si>
  <si>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</si>
  <si>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</si>
  <si>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</si>
  <si>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</si>
  <si>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</si>
  <si>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</si>
  <si>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</si>
  <si>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</si>
  <si>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</si>
  <si>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</si>
  <si>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</si>
  <si>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</si>
  <si>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</si>
  <si>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</si>
  <si>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</si>
  <si>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</si>
  <si>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</si>
  <si>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</si>
  <si>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</si>
  <si>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</si>
  <si>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</si>
  <si>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</si>
  <si>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</si>
  <si>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</si>
  <si>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</si>
  <si>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</si>
  <si>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</si>
  <si>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</si>
  <si>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</si>
  <si>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</si>
  <si>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</si>
  <si>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</si>
  <si>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</si>
  <si>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</si>
  <si>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</si>
  <si>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</si>
  <si>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</si>
  <si>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</si>
  <si>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</si>
  <si>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</si>
  <si>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</si>
  <si>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</si>
  <si>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</si>
  <si>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</si>
  <si>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</si>
  <si>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</si>
  <si>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</si>
  <si>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</si>
  <si>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</si>
  <si>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</si>
  <si>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</si>
  <si>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</si>
  <si>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</si>
  <si>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</si>
  <si>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</si>
  <si>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</si>
  <si>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</si>
  <si>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</si>
  <si>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</si>
  <si>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</si>
  <si>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</si>
  <si>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</si>
  <si>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</si>
  <si>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</si>
  <si>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</si>
  <si>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</si>
  <si>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</si>
  <si>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</si>
  <si>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</si>
  <si>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</si>
  <si>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</si>
  <si>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</si>
  <si>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</si>
  <si>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</si>
  <si>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</si>
  <si>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</si>
  <si>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</si>
  <si>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</si>
  <si>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</si>
  <si>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</si>
  <si>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</si>
  <si>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</si>
  <si>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</si>
  <si>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</si>
  <si>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</si>
  <si>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</si>
  <si>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</si>
  <si>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</si>
  <si>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</si>
  <si>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</si>
  <si>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</si>
  <si>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</si>
  <si>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</si>
  <si>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</si>
  <si>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</si>
  <si>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</si>
  <si>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</si>
  <si>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</si>
  <si>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</si>
  <si>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</si>
  <si>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</si>
  <si>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</si>
  <si>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</si>
  <si>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</si>
  <si>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</si>
  <si>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</si>
  <si>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</si>
  <si>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</si>
  <si>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</si>
  <si>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</si>
  <si>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</si>
  <si>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</si>
  <si>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</si>
  <si>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</si>
  <si>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</si>
  <si>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</si>
  <si>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</si>
  <si>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</si>
  <si>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</si>
  <si>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</si>
  <si>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</si>
  <si>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</si>
  <si>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</si>
  <si>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</si>
  <si>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</si>
  <si>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</si>
  <si>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</si>
  <si>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</si>
  <si>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</si>
  <si>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</si>
  <si>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</si>
  <si>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</si>
  <si>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</si>
  <si>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</si>
  <si>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</si>
  <si>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</si>
  <si>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</si>
  <si>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</si>
  <si>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</si>
  <si>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</si>
  <si>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</si>
  <si>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</si>
  <si>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</si>
  <si>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</si>
  <si>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</si>
  <si>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</si>
  <si>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</si>
  <si>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</si>
  <si>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</si>
  <si>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</si>
  <si>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</si>
  <si>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</si>
  <si>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</si>
  <si>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</si>
  <si>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</si>
  <si>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</si>
  <si>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</si>
  <si>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</si>
  <si>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</si>
  <si>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</si>
  <si>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</si>
  <si>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</si>
  <si>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</si>
  <si>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</si>
  <si>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</si>
  <si>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</si>
  <si>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</si>
  <si>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</si>
  <si>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</si>
  <si>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</si>
  <si>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</si>
  <si>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</si>
  <si>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</si>
  <si>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</si>
  <si>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</si>
  <si>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</si>
  <si>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</si>
  <si>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</si>
  <si>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</si>
  <si>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</si>
  <si>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</si>
  <si>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</si>
  <si>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</si>
  <si>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</si>
  <si>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</si>
  <si>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</si>
  <si>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</si>
  <si>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</si>
  <si>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</si>
  <si>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</si>
  <si>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</si>
  <si>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</si>
  <si>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</si>
  <si>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</si>
  <si>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</si>
  <si>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</si>
  <si>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</si>
  <si>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</si>
  <si>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</si>
  <si>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</si>
  <si>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</si>
  <si>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</si>
  <si>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</si>
  <si>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</si>
  <si>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</si>
  <si>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</si>
  <si>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</si>
  <si>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</si>
  <si>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</si>
  <si>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</si>
  <si>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</si>
  <si>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</si>
  <si>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</si>
  <si>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</si>
  <si>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</si>
  <si>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</si>
  <si>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</si>
  <si>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</si>
  <si>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</si>
  <si>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</si>
  <si>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</si>
  <si>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</si>
  <si>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</si>
  <si>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</si>
  <si>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</si>
  <si>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</si>
  <si>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</si>
  <si>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</si>
  <si>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</si>
  <si>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</si>
  <si>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</si>
  <si>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</si>
  <si>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</si>
  <si>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</si>
  <si>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</si>
  <si>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</si>
  <si>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</si>
  <si>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</si>
  <si>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</si>
  <si>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</si>
  <si>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</si>
  <si>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</si>
  <si>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</si>
  <si>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</si>
  <si>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</si>
  <si>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</si>
  <si>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</si>
  <si>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</si>
  <si>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</si>
  <si>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</si>
  <si>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</si>
  <si>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</si>
  <si>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</si>
  <si>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</si>
  <si>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</si>
  <si>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</si>
  <si>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</si>
  <si>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</si>
  <si>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</si>
  <si>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</si>
  <si>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</si>
  <si>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</si>
  <si>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</si>
  <si>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</si>
  <si>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</si>
  <si>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</si>
  <si>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</si>
  <si>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</si>
  <si>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</si>
  <si>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</si>
  <si>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</si>
  <si>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</si>
  <si>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</si>
  <si>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</si>
  <si>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</si>
  <si>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</si>
  <si>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</si>
  <si>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</si>
  <si>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</si>
  <si>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</si>
  <si>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</si>
  <si>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</si>
  <si>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</si>
  <si>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</si>
  <si>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</si>
  <si>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</si>
  <si>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</si>
  <si>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</si>
  <si>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</si>
  <si>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</si>
  <si>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</si>
  <si>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</si>
  <si>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</si>
  <si>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</si>
  <si>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</si>
  <si>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</si>
  <si>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</si>
  <si>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</si>
  <si>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</si>
  <si>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</si>
  <si>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</si>
  <si>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</si>
  <si>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</si>
  <si>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</si>
  <si>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</si>
  <si>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</si>
  <si>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</si>
  <si>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</si>
  <si>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</si>
  <si>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</si>
  <si>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</si>
  <si>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</si>
  <si>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</si>
  <si>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</si>
  <si>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</si>
  <si>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</si>
  <si>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</si>
  <si>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</si>
  <si>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</si>
  <si>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</si>
  <si>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</si>
  <si>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</si>
  <si>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</si>
  <si>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</si>
  <si>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</si>
  <si>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MF-FSMF, MF-LSMF, MF-MSMF, MF-NSMF, MF-NSML, MF-PSHT, MF-PSMF, MF-SMDF, MF-SMHT, MF-USMF, MF-USML, MF-PSML</t>
  </si>
  <si>
    <t>Multifuse: SMD models</t>
  </si>
  <si>
    <t>MF-R, MF-R90, MF-R/600, MF-RG, MF-RM, MF-RHT,  MF-RX, MF-RX/72, MF-RX/250 MF-SM, MF-SM250V, MF-SM/250, MF-SD/250</t>
  </si>
  <si>
    <t>Multifuse</t>
  </si>
  <si>
    <t>MF-S, MF-LS, MF-LR, MF-SVS, MF-VS, MF-LL, MF-SD/250</t>
  </si>
  <si>
    <t>Multifuse battery straps</t>
  </si>
  <si>
    <t>CMF series</t>
  </si>
  <si>
    <t>Ceramic PTC</t>
  </si>
  <si>
    <t>MF-D series</t>
  </si>
  <si>
    <t>Resettable fuse</t>
  </si>
  <si>
    <t>B0500T, B1250T, B2000T</t>
  </si>
  <si>
    <t>Telefuse</t>
  </si>
  <si>
    <t>SF series</t>
  </si>
  <si>
    <t>Singfuse</t>
  </si>
  <si>
    <t>RMI VALIDATED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</si>
</sst>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67.5">
      <c r="A47" s="354"/>
      <c r="B47" s="208">
        <v>5.0999999999999996</v>
      </c>
      <c r="C47" s="191" t="s">
        <v>2961</v>
      </c>
      <c r="D47" s="209">
        <v>43070</v>
      </c>
      <c r="E47" s="220" t="s">
        <v>14293</v>
      </c>
      <c r="F47" s="37" t="s">
        <v>14294</v>
      </c>
      <c r="G47" s="34"/>
    </row>
    <row r="48" spans="1:7" ht="56.2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0" t="str">
        <f ca="1">OFFSET(L!$C$1,MATCH("Declaration"&amp;ADDRESS(ROW(),COLUMN(),4),L!$A:$A,0)-1,SL,,)</f>
        <v>Conflict Minerals Reporting Template (CMRT)</v>
      </c>
      <c r="E2" s="401"/>
      <c r="F2" s="401"/>
      <c r="G2" s="401"/>
      <c r="H2" s="401"/>
      <c r="I2" s="401"/>
      <c r="J2" s="40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3"/>
      <c r="G3" s="413"/>
      <c r="H3" s="413"/>
      <c r="I3" s="194"/>
      <c r="J3" s="173" t="s">
        <v>14599</v>
      </c>
      <c r="K3" s="48"/>
      <c r="L3" s="144"/>
      <c r="M3" s="135"/>
      <c r="N3" s="135"/>
      <c r="O3" s="136"/>
      <c r="P3" s="149">
        <f>MATCH($D$3,LN,0)</f>
        <v>1</v>
      </c>
    </row>
    <row r="4" spans="1:34" ht="15.75">
      <c r="A4" s="46"/>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8" t="str">
        <f ca="1">OFFSET(L!$C$1,MATCH("Declaration"&amp;ADDRESS(ROW(),COLUMN(),4),L!$A:$A,0)-1,SL,,)</f>
        <v>Company Information</v>
      </c>
      <c r="C7" s="418"/>
      <c r="D7" s="418"/>
      <c r="E7" s="418"/>
      <c r="F7" s="418"/>
      <c r="G7" s="418"/>
      <c r="H7" s="418"/>
      <c r="I7" s="418"/>
      <c r="J7" s="41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3" t="s">
        <v>15425</v>
      </c>
      <c r="E8" s="404"/>
      <c r="F8" s="404"/>
      <c r="G8" s="404"/>
      <c r="H8" s="404"/>
      <c r="I8" s="404"/>
      <c r="J8" s="40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5" t="s">
        <v>570</v>
      </c>
      <c r="E9" s="416"/>
      <c r="F9" s="416"/>
      <c r="G9" s="417"/>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9" t="str">
        <f ca="1">OFFSET(L!$C$1,MATCH("Declaration"&amp;ADDRESS(ROW(),COLUMN(),4)&amp;LEFT($D$9,1),L!$A:$A,0)-1,SL,,)</f>
        <v>Go to Product List tab to enter products this declaration applies to</v>
      </c>
      <c r="C10" s="156"/>
      <c r="D10" s="410"/>
      <c r="E10" s="411"/>
      <c r="F10" s="411"/>
      <c r="G10" s="411"/>
      <c r="H10" s="411"/>
      <c r="I10" s="411"/>
      <c r="J10" s="41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0"/>
      <c r="C11" s="156"/>
      <c r="D11" s="429" t="str">
        <f ca="1">IF(D9=Q9,OFFSET(L!$C$1,MATCH("Declaration"&amp;ADDRESS(ROW(),COLUMN(),4),L!$A:$A,0)-1,SL,,),"")</f>
        <v>Click here to enter the products this declaration applies to</v>
      </c>
      <c r="E11" s="430"/>
      <c r="F11" s="430"/>
      <c r="G11" s="430"/>
      <c r="H11" s="430"/>
      <c r="I11" s="430"/>
      <c r="J11" s="431"/>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3" t="s">
        <v>3047</v>
      </c>
      <c r="E12" s="404"/>
      <c r="F12" s="404"/>
      <c r="G12" s="404"/>
      <c r="H12" s="404"/>
      <c r="I12" s="404"/>
      <c r="J12" s="40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3" t="s">
        <v>15426</v>
      </c>
      <c r="E13" s="404"/>
      <c r="F13" s="404"/>
      <c r="G13" s="404"/>
      <c r="H13" s="404"/>
      <c r="I13" s="404"/>
      <c r="J13" s="40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9" t="s">
        <v>15427</v>
      </c>
      <c r="E14" s="390"/>
      <c r="F14" s="390"/>
      <c r="G14" s="390"/>
      <c r="H14" s="390"/>
      <c r="I14" s="390"/>
      <c r="J14" s="39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9" t="s">
        <v>15428</v>
      </c>
      <c r="E15" s="390"/>
      <c r="F15" s="390"/>
      <c r="G15" s="390"/>
      <c r="H15" s="390"/>
      <c r="I15" s="390"/>
      <c r="J15" s="39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3" t="s">
        <v>15429</v>
      </c>
      <c r="E16" s="404"/>
      <c r="F16" s="404"/>
      <c r="G16" s="404"/>
      <c r="H16" s="404"/>
      <c r="I16" s="404"/>
      <c r="J16" s="40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9" t="s">
        <v>15430</v>
      </c>
      <c r="E17" s="390"/>
      <c r="F17" s="390"/>
      <c r="G17" s="390"/>
      <c r="H17" s="390"/>
      <c r="I17" s="390"/>
      <c r="J17" s="39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6" t="s">
        <v>15431</v>
      </c>
      <c r="E18" s="407"/>
      <c r="F18" s="407"/>
      <c r="G18" s="407"/>
      <c r="H18" s="407"/>
      <c r="I18" s="407"/>
      <c r="J18" s="40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6" t="s">
        <v>15432</v>
      </c>
      <c r="E19" s="407"/>
      <c r="F19" s="407"/>
      <c r="G19" s="407"/>
      <c r="H19" s="407"/>
      <c r="I19" s="407"/>
      <c r="J19" s="40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1" t="s">
        <v>15433</v>
      </c>
      <c r="E20" s="422"/>
      <c r="F20" s="422"/>
      <c r="G20" s="422"/>
      <c r="H20" s="422"/>
      <c r="I20" s="422"/>
      <c r="J20" s="42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15434</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43257</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6"/>
      <c r="E23" s="42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2"/>
      <c r="E32" s="393"/>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25"/>
      <c r="I37" s="425"/>
      <c r="J37" s="425"/>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564</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v>1</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24"/>
      <c r="I55" s="424"/>
      <c r="J55" s="424"/>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2"/>
      <c r="E56" s="393"/>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24" t="str">
        <f>IF(Q69="(*)","Click here to enter smelter names","")</f>
        <v/>
      </c>
      <c r="I61" s="424"/>
      <c r="J61" s="424"/>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6" t="str">
        <f ca="1">OFFSET(L!$C$1,MATCH("Declaration"&amp;ADDRESS(ROW(),COLUMN(),4),L!$A:$A,0)-1,SL,,)</f>
        <v>Answer the Following Questions at a Company Level</v>
      </c>
      <c r="C67" s="436"/>
      <c r="D67" s="436"/>
      <c r="E67" s="436"/>
      <c r="F67" s="436"/>
      <c r="G67" s="436"/>
      <c r="H67" s="436"/>
      <c r="I67" s="436"/>
      <c r="J67" s="43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7" t="str">
        <f ca="1">D25</f>
        <v>Answer</v>
      </c>
      <c r="E68" s="427"/>
      <c r="F68" s="65"/>
      <c r="G68" s="427" t="str">
        <f ca="1">G25</f>
        <v>Comments</v>
      </c>
      <c r="H68" s="427" t="e">
        <f>HLOOKUP(SL,LT,$O68,0)</f>
        <v>#NAME?</v>
      </c>
      <c r="I68" s="42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8"/>
      <c r="H70" s="428"/>
      <c r="I70" s="428"/>
      <c r="J70" s="428"/>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4" t="s">
        <v>15436</v>
      </c>
      <c r="H71" s="395"/>
      <c r="I71" s="395"/>
      <c r="J71" s="39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6" t="s">
        <v>13591</v>
      </c>
      <c r="E79" s="408"/>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8"/>
      <c r="H80" s="428"/>
      <c r="I80" s="428"/>
      <c r="J80" s="428"/>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5"/>
      <c r="H82" s="435"/>
      <c r="I82" s="435"/>
      <c r="J82" s="43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4" t="str">
        <f>IF(OR($D$8="",$I$3=""),"","Click here to check required fields completion")</f>
        <v/>
      </c>
      <c r="C86" s="434"/>
      <c r="D86" s="434"/>
      <c r="E86" s="434"/>
      <c r="F86" s="434"/>
      <c r="G86" s="434"/>
      <c r="H86" s="434"/>
      <c r="I86" s="434"/>
      <c r="J86" s="43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2" t="str">
        <f ca="1">OFFSET(L!$C$1,MATCH("General"&amp;"Cpy",L!$A:$A,0)-1,SL,,)</f>
        <v>© 2018 Responsible Minerals Initiative. All rights reserved.</v>
      </c>
      <c r="B87" s="433"/>
      <c r="C87" s="433"/>
      <c r="D87" s="433"/>
      <c r="E87" s="433"/>
      <c r="F87" s="433"/>
      <c r="G87" s="433"/>
      <c r="H87" s="433"/>
      <c r="I87" s="433"/>
      <c r="J87" s="43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24" sqref="C24"/>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76.5">
      <c r="A5" s="235" t="s">
        <v>777</v>
      </c>
      <c r="B5" s="236" t="str">
        <f ca="1">IF(LEN(A5)=0,"",INDEX('Smelter Look-up'!$A:$A,MATCH($A5,'Smelter Look-up'!$E:$E,0)))</f>
        <v>Gold</v>
      </c>
      <c r="C5" s="242" t="str">
        <f ca="1">IF(LEN(A5)=0,"",INDEX('Smelter Look-up'!$C:$C,MATCH($A5,'Smelter Look-up'!$E:$E,0)))</f>
        <v>Heraeus Metals Hong Kong Ltd.</v>
      </c>
      <c r="D5" s="236"/>
      <c r="E5" s="236" t="str">
        <f ca="1">IF(ISERROR($V5),"",OFFSET('Smelter Look-up'!$D$4,$V5-4,0)&amp;"")</f>
        <v>CHINA</v>
      </c>
      <c r="F5" s="236" t="str">
        <f ca="1">IF(ISERROR($V5),"",OFFSET('Smelter Look-up'!$E$4,$V5-4,0))</f>
        <v>CID000707</v>
      </c>
      <c r="G5" s="236" t="str">
        <f ca="1">IF(C5=$X$4,"Enter smelter details", IF(ISERROR($V5),"",OFFSET('Smelter Look-up'!$F$4,$V5-4,0)))</f>
        <v>RMI</v>
      </c>
      <c r="H5" s="237">
        <f ca="1">IF(ISERROR($V5),"",OFFSET('Smelter Look-up'!$G$4,$V5-4,0))</f>
        <v>0</v>
      </c>
      <c r="I5" s="238" t="str">
        <f ca="1">IF(ISERROR($V5),"",OFFSET('Smelter Look-up'!$H$4,$V5-4,0))</f>
        <v>Fanling</v>
      </c>
      <c r="J5" s="238" t="str">
        <f ca="1">IF(ISERROR($V5),"",OFFSET('Smelter Look-up'!$I$4,$V5-4,0))</f>
        <v>Hong Kong</v>
      </c>
      <c r="K5" s="240"/>
      <c r="L5" s="240"/>
      <c r="M5" s="240"/>
      <c r="N5" s="240"/>
      <c r="O5" s="240"/>
      <c r="P5" s="239"/>
      <c r="Q5" s="241" t="s">
        <v>15451</v>
      </c>
      <c r="R5" s="236" t="str">
        <f ca="1">IF(ISERROR($V5),"",OFFSET('Smelter Look-up'!$C$4,$V5-4,0)&amp;"")</f>
        <v>Heraeus Metals Hong Kong Ltd.</v>
      </c>
      <c r="S5" s="250" t="str">
        <f t="shared" ref="S5:S58" ca="1" si="0">IF(B5="","",IF(ISERROR(MATCH($E5,CL,0)),"Unknown",INDIRECT("'C'!$A$"&amp;MATCH($E5,CL,0)+1)))</f>
        <v>CN</v>
      </c>
      <c r="T5" s="250" t="str">
        <f ca="1">IF(B5="","",IF(ISERROR(MATCH($J5,SorP!$B$1:$B$6230,0)),"",INDIRECT("'SorP'!$A$"&amp;MATCH($J5,SorP!$B$1:$B$6230,0))))</f>
        <v>CN-91</v>
      </c>
      <c r="U5" s="280"/>
      <c r="V5" s="281">
        <f ca="1">IF(C5="",NA(),MATCH($B5&amp;$C5,'Smelter Look-up'!$J:$J,0))</f>
        <v>87</v>
      </c>
      <c r="W5" s="282"/>
      <c r="X5" s="282">
        <f t="shared" ref="X5:X58" ca="1" si="1">IF(AND(C5="Smelter not listed",OR(LEN(D5)=0,LEN(E5)=0)),1,0)</f>
        <v>0</v>
      </c>
      <c r="Y5" s="282"/>
      <c r="Z5" s="282"/>
      <c r="AB5" s="284" t="str">
        <f t="shared" ref="AB5:AB58" ca="1" si="2">B5&amp;C5</f>
        <v>GoldHeraeus Metals Hong Kong Ltd.</v>
      </c>
    </row>
    <row r="6" spans="1:34" s="283" customFormat="1" ht="25.5">
      <c r="A6" s="235" t="s">
        <v>817</v>
      </c>
      <c r="B6" s="236" t="str">
        <f ca="1">IF(LEN(A6)=0,"",INDEX('Smelter Look-up'!$A:$A,MATCH($A6,'Smelter Look-up'!$E:$E,0)))</f>
        <v>Gold</v>
      </c>
      <c r="C6" s="242" t="str">
        <f ca="1">IF(LEN(A6)=0,"",INDEX('Smelter Look-up'!$C:$C,MATCH($A6,'Smelter Look-up'!$E:$E,0)))</f>
        <v>PAMP S.A.</v>
      </c>
      <c r="D6" s="236"/>
      <c r="E6" s="236" t="str">
        <f ca="1">IF(ISERROR($V6),"",OFFSET('Smelter Look-up'!$D$4,$V6-4,0)&amp;"")</f>
        <v>SWITZERLAND</v>
      </c>
      <c r="F6" s="236" t="str">
        <f ca="1">IF(ISERROR($V6),"",OFFSET('Smelter Look-up'!$E$4,$V6-4,0))</f>
        <v>CID001352</v>
      </c>
      <c r="G6" s="236" t="str">
        <f ca="1">IF(C6=$X$4,"Enter smelter details", IF(ISERROR($V6),"",OFFSET('Smelter Look-up'!$F$4,$V6-4,0)))</f>
        <v>RMI</v>
      </c>
      <c r="H6" s="237">
        <f ca="1">IF(ISERROR($V6),"",OFFSET('Smelter Look-up'!$G$4,$V6-4,0))</f>
        <v>0</v>
      </c>
      <c r="I6" s="238" t="str">
        <f ca="1">IF(ISERROR($V6),"",OFFSET('Smelter Look-up'!$H$4,$V6-4,0))</f>
        <v>Castel San Pietro</v>
      </c>
      <c r="J6" s="238" t="str">
        <f ca="1">IF(ISERROR($V6),"",OFFSET('Smelter Look-up'!$I$4,$V6-4,0))</f>
        <v>Ticino</v>
      </c>
      <c r="K6" s="240"/>
      <c r="L6" s="240"/>
      <c r="M6" s="240"/>
      <c r="N6" s="240"/>
      <c r="O6" s="240"/>
      <c r="P6" s="239"/>
      <c r="Q6" s="241" t="s">
        <v>15451</v>
      </c>
      <c r="R6" s="236" t="str">
        <f ca="1">IF(ISERROR($V6),"",OFFSET('Smelter Look-up'!$C$4,$V6-4,0)&amp;"")</f>
        <v>PAMP S.A.</v>
      </c>
      <c r="S6" s="250" t="str">
        <f t="shared" ca="1" si="0"/>
        <v>CH</v>
      </c>
      <c r="T6" s="250" t="str">
        <f ca="1">IF(B6="","",IF(ISERROR(MATCH($J6,SorP!$B$1:$B$6230,0)),"",INDIRECT("'SorP'!$A$"&amp;MATCH($J6,SorP!$B$1:$B$6230,0))))</f>
        <v>CH-TI</v>
      </c>
      <c r="U6" s="280"/>
      <c r="V6" s="281">
        <f ca="1">IF(C6="",NA(),MATCH($B6&amp;$C6,'Smelter Look-up'!$J:$J,0))</f>
        <v>173</v>
      </c>
      <c r="W6" s="282"/>
      <c r="X6" s="282">
        <f t="shared" ca="1" si="1"/>
        <v>0</v>
      </c>
      <c r="Y6" s="282"/>
      <c r="Z6" s="282"/>
      <c r="AB6" s="284" t="str">
        <f t="shared" ca="1" si="2"/>
        <v>GoldPAMP S.A.</v>
      </c>
    </row>
    <row r="7" spans="1:34" s="283" customFormat="1" ht="38.25">
      <c r="A7" s="235" t="s">
        <v>841</v>
      </c>
      <c r="B7" s="236" t="str">
        <f ca="1">IF(LEN(A7)=0,"",INDEX('Smelter Look-up'!$A:$A,MATCH($A7,'Smelter Look-up'!$E:$E,0)))</f>
        <v>Gold</v>
      </c>
      <c r="C7" s="242" t="str">
        <f ca="1">IF(LEN(A7)=0,"",INDEX('Smelter Look-up'!$C:$C,MATCH($A7,'Smelter Look-up'!$E:$E,0)))</f>
        <v>Valcambi S.A.</v>
      </c>
      <c r="D7" s="236"/>
      <c r="E7" s="236" t="str">
        <f ca="1">IF(ISERROR($V7),"",OFFSET('Smelter Look-up'!$D$4,$V7-4,0)&amp;"")</f>
        <v>SWITZERLAND</v>
      </c>
      <c r="F7" s="236" t="str">
        <f ca="1">IF(ISERROR($V7),"",OFFSET('Smelter Look-up'!$E$4,$V7-4,0))</f>
        <v>CID002003</v>
      </c>
      <c r="G7" s="236" t="str">
        <f ca="1">IF(C7=$X$4,"Enter smelter details", IF(ISERROR($V7),"",OFFSET('Smelter Look-up'!$F$4,$V7-4,0)))</f>
        <v>RMI</v>
      </c>
      <c r="H7" s="237">
        <f ca="1">IF(ISERROR($V7),"",OFFSET('Smelter Look-up'!$G$4,$V7-4,0))</f>
        <v>0</v>
      </c>
      <c r="I7" s="238" t="str">
        <f ca="1">IF(ISERROR($V7),"",OFFSET('Smelter Look-up'!$H$4,$V7-4,0))</f>
        <v>Balerna</v>
      </c>
      <c r="J7" s="238" t="str">
        <f ca="1">IF(ISERROR($V7),"",OFFSET('Smelter Look-up'!$I$4,$V7-4,0))</f>
        <v>Ticino</v>
      </c>
      <c r="K7" s="240"/>
      <c r="L7" s="240"/>
      <c r="M7" s="240"/>
      <c r="N7" s="240"/>
      <c r="O7" s="240"/>
      <c r="P7" s="239"/>
      <c r="Q7" s="241" t="s">
        <v>15451</v>
      </c>
      <c r="R7" s="236" t="str">
        <f ca="1">IF(ISERROR($V7),"",OFFSET('Smelter Look-up'!$C$4,$V7-4,0)&amp;"")</f>
        <v>Valcambi S.A.</v>
      </c>
      <c r="S7" s="250" t="str">
        <f t="shared" ca="1" si="0"/>
        <v>CH</v>
      </c>
      <c r="T7" s="250" t="str">
        <f ca="1">IF(B7="","",IF(ISERROR(MATCH($J7,SorP!$B$1:$B$6230,0)),"",INDIRECT("'SorP'!$A$"&amp;MATCH($J7,SorP!$B$1:$B$6230,0))))</f>
        <v>CH-TI</v>
      </c>
      <c r="U7" s="280"/>
      <c r="V7" s="281">
        <f ca="1">IF(C7="",NA(),MATCH($B7&amp;$C7,'Smelter Look-up'!$J:$J,0))</f>
        <v>257</v>
      </c>
      <c r="W7" s="282"/>
      <c r="X7" s="282">
        <f t="shared" ca="1" si="1"/>
        <v>0</v>
      </c>
      <c r="Y7" s="282"/>
      <c r="Z7" s="282"/>
      <c r="AB7" s="284" t="str">
        <f t="shared" ca="1" si="2"/>
        <v>GoldValcambi S.A.</v>
      </c>
    </row>
    <row r="8" spans="1:34" s="283" customFormat="1" ht="63.75">
      <c r="A8" s="235" t="s">
        <v>805</v>
      </c>
      <c r="B8" s="236" t="str">
        <f ca="1">IF(LEN(A8)=0,"",INDEX('Smelter Look-up'!$A:$A,MATCH($A8,'Smelter Look-up'!$E:$E,0)))</f>
        <v>Gold</v>
      </c>
      <c r="C8" s="242" t="str">
        <f ca="1">IF(LEN(A8)=0,"",INDEX('Smelter Look-up'!$C:$C,MATCH($A8,'Smelter Look-up'!$E:$E,0)))</f>
        <v>Metalor Technologies S.A.</v>
      </c>
      <c r="D8" s="236"/>
      <c r="E8" s="236" t="str">
        <f ca="1">IF(ISERROR($V8),"",OFFSET('Smelter Look-up'!$D$4,$V8-4,0)&amp;"")</f>
        <v>SWITZERLAND</v>
      </c>
      <c r="F8" s="236" t="str">
        <f ca="1">IF(ISERROR($V8),"",OFFSET('Smelter Look-up'!$E$4,$V8-4,0))</f>
        <v>CID001153</v>
      </c>
      <c r="G8" s="236" t="str">
        <f ca="1">IF(C8=$X$4,"Enter smelter details", IF(ISERROR($V8),"",OFFSET('Smelter Look-up'!$F$4,$V8-4,0)))</f>
        <v>RMI</v>
      </c>
      <c r="H8" s="237">
        <f ca="1">IF(ISERROR($V8),"",OFFSET('Smelter Look-up'!$G$4,$V8-4,0))</f>
        <v>0</v>
      </c>
      <c r="I8" s="238" t="str">
        <f ca="1">IF(ISERROR($V8),"",OFFSET('Smelter Look-up'!$H$4,$V8-4,0))</f>
        <v>Marin</v>
      </c>
      <c r="J8" s="238" t="str">
        <f ca="1">IF(ISERROR($V8),"",OFFSET('Smelter Look-up'!$I$4,$V8-4,0))</f>
        <v>Neuchâtel</v>
      </c>
      <c r="K8" s="240"/>
      <c r="L8" s="240"/>
      <c r="M8" s="240"/>
      <c r="N8" s="240"/>
      <c r="O8" s="240"/>
      <c r="P8" s="239"/>
      <c r="Q8" s="241" t="s">
        <v>15451</v>
      </c>
      <c r="R8" s="236" t="str">
        <f ca="1">IF(ISERROR($V8),"",OFFSET('Smelter Look-up'!$C$4,$V8-4,0)&amp;"")</f>
        <v>Metalor Technologies S.A.</v>
      </c>
      <c r="S8" s="250" t="str">
        <f t="shared" ca="1" si="0"/>
        <v>CH</v>
      </c>
      <c r="T8" s="250" t="str">
        <f ca="1">IF(B8="","",IF(ISERROR(MATCH($J8,SorP!$B$1:$B$6230,0)),"",INDIRECT("'SorP'!$A$"&amp;MATCH($J8,SorP!$B$1:$B$6230,0))))</f>
        <v>CH-NE</v>
      </c>
      <c r="U8" s="280"/>
      <c r="V8" s="281">
        <f ca="1">IF(C8="",NA(),MATCH($B8&amp;$C8,'Smelter Look-up'!$J:$J,0))</f>
        <v>144</v>
      </c>
      <c r="W8" s="282"/>
      <c r="X8" s="282">
        <f t="shared" ca="1" si="1"/>
        <v>0</v>
      </c>
      <c r="Y8" s="282"/>
      <c r="Z8" s="282"/>
      <c r="AB8" s="284" t="str">
        <f t="shared" ca="1" si="2"/>
        <v>GoldMetalor Technologies S.A.</v>
      </c>
    </row>
    <row r="9" spans="1:34" s="283" customFormat="1" ht="63.75">
      <c r="A9" s="235" t="s">
        <v>911</v>
      </c>
      <c r="B9" s="236" t="str">
        <f ca="1">IF(LEN(A9)=0,"",INDEX('Smelter Look-up'!$A:$A,MATCH($A9,'Smelter Look-up'!$E:$E,0)))</f>
        <v>Tin</v>
      </c>
      <c r="C9" s="242" t="str">
        <f ca="1">IF(LEN(A9)=0,"",INDEX('Smelter Look-up'!$C:$C,MATCH($A9,'Smelter Look-up'!$E:$E,0)))</f>
        <v>Yunnan Tin Company Limited</v>
      </c>
      <c r="D9" s="236"/>
      <c r="E9" s="236" t="str">
        <f ca="1">IF(ISERROR($V9),"",OFFSET('Smelter Look-up'!$D$4,$V9-4,0)&amp;"")</f>
        <v>CHINA</v>
      </c>
      <c r="F9" s="236" t="str">
        <f ca="1">IF(ISERROR($V9),"",OFFSET('Smelter Look-up'!$E$4,$V9-4,0))</f>
        <v>CID002180</v>
      </c>
      <c r="G9" s="236" t="str">
        <f ca="1">IF(C9=$X$4,"Enter smelter details", IF(ISERROR($V9),"",OFFSET('Smelter Look-up'!$F$4,$V9-4,0)))</f>
        <v>RMI</v>
      </c>
      <c r="H9" s="237">
        <f ca="1">IF(ISERROR($V9),"",OFFSET('Smelter Look-up'!$G$4,$V9-4,0))</f>
        <v>0</v>
      </c>
      <c r="I9" s="238" t="str">
        <f ca="1">IF(ISERROR($V9),"",OFFSET('Smelter Look-up'!$H$4,$V9-4,0))</f>
        <v>Gejiu</v>
      </c>
      <c r="J9" s="238" t="str">
        <f ca="1">IF(ISERROR($V9),"",OFFSET('Smelter Look-up'!$I$4,$V9-4,0))</f>
        <v>Yunnan</v>
      </c>
      <c r="K9" s="240"/>
      <c r="L9" s="240"/>
      <c r="M9" s="240"/>
      <c r="N9" s="240"/>
      <c r="O9" s="240"/>
      <c r="P9" s="239"/>
      <c r="Q9" s="241" t="s">
        <v>15451</v>
      </c>
      <c r="R9" s="236" t="str">
        <f ca="1">IF(ISERROR($V9),"",OFFSET('Smelter Look-up'!$C$4,$V9-4,0)&amp;"")</f>
        <v>Yunnan Tin Company Limited</v>
      </c>
      <c r="S9" s="250" t="str">
        <f t="shared" ca="1" si="0"/>
        <v>CN</v>
      </c>
      <c r="T9" s="250" t="str">
        <f ca="1">IF(B9="","",IF(ISERROR(MATCH($J9,SorP!$B$1:$B$6230,0)),"",INDIRECT("'SorP'!$A$"&amp;MATCH($J9,SorP!$B$1:$B$6230,0))))</f>
        <v>CN-53</v>
      </c>
      <c r="U9" s="280"/>
      <c r="V9" s="281">
        <f ca="1">IF(C9="",NA(),MATCH($B9&amp;$C9,'Smelter Look-up'!$J:$J,0))</f>
        <v>502</v>
      </c>
      <c r="W9" s="282"/>
      <c r="X9" s="282">
        <f t="shared" ca="1" si="1"/>
        <v>0</v>
      </c>
      <c r="Y9" s="282"/>
      <c r="Z9" s="282"/>
      <c r="AB9" s="284" t="str">
        <f t="shared" ca="1" si="2"/>
        <v>TinYunnan Tin Company Limited</v>
      </c>
    </row>
    <row r="10" spans="1:34" s="283" customFormat="1" ht="76.5">
      <c r="A10" s="235" t="s">
        <v>882</v>
      </c>
      <c r="B10" s="236" t="str">
        <f ca="1">IF(LEN(A10)=0,"",INDEX('Smelter Look-up'!$A:$A,MATCH($A10,'Smelter Look-up'!$E:$E,0)))</f>
        <v>Tin</v>
      </c>
      <c r="C10" s="242" t="str">
        <f ca="1">IF(LEN(A10)=0,"",INDEX('Smelter Look-up'!$C:$C,MATCH($A10,'Smelter Look-up'!$E:$E,0)))</f>
        <v>Malaysia Smelting Corporation (MSC)</v>
      </c>
      <c r="D10" s="236"/>
      <c r="E10" s="236" t="str">
        <f ca="1">IF(ISERROR($V10),"",OFFSET('Smelter Look-up'!$D$4,$V10-4,0)&amp;"")</f>
        <v>MALAYSIA</v>
      </c>
      <c r="F10" s="236" t="str">
        <f ca="1">IF(ISERROR($V10),"",OFFSET('Smelter Look-up'!$E$4,$V10-4,0))</f>
        <v>CID001105</v>
      </c>
      <c r="G10" s="236" t="str">
        <f ca="1">IF(C10=$X$4,"Enter smelter details", IF(ISERROR($V10),"",OFFSET('Smelter Look-up'!$F$4,$V10-4,0)))</f>
        <v>RMI</v>
      </c>
      <c r="H10" s="237">
        <f ca="1">IF(ISERROR($V10),"",OFFSET('Smelter Look-up'!$G$4,$V10-4,0))</f>
        <v>0</v>
      </c>
      <c r="I10" s="238" t="str">
        <f ca="1">IF(ISERROR($V10),"",OFFSET('Smelter Look-up'!$H$4,$V10-4,0))</f>
        <v>Butterworth</v>
      </c>
      <c r="J10" s="238" t="str">
        <f ca="1">IF(ISERROR($V10),"",OFFSET('Smelter Look-up'!$I$4,$V10-4,0))</f>
        <v>Pulau Pinang</v>
      </c>
      <c r="K10" s="240"/>
      <c r="L10" s="240"/>
      <c r="M10" s="240"/>
      <c r="N10" s="240"/>
      <c r="O10" s="240"/>
      <c r="P10" s="239"/>
      <c r="Q10" s="241" t="s">
        <v>15451</v>
      </c>
      <c r="R10" s="236" t="str">
        <f ca="1">IF(ISERROR($V10),"",OFFSET('Smelter Look-up'!$C$4,$V10-4,0)&amp;"")</f>
        <v>Malaysia Smelting Corporation (MSC)</v>
      </c>
      <c r="S10" s="250" t="str">
        <f t="shared" ca="1" si="0"/>
        <v>MY</v>
      </c>
      <c r="T10" s="250" t="str">
        <f ca="1">IF(B10="","",IF(ISERROR(MATCH($J10,SorP!$B$1:$B$6230,0)),"",INDIRECT("'SorP'!$A$"&amp;MATCH($J10,SorP!$B$1:$B$6230,0))))</f>
        <v>MY-07</v>
      </c>
      <c r="U10" s="280"/>
      <c r="V10" s="281">
        <f ca="1">IF(C10="",NA(),MATCH($B10&amp;$C10,'Smelter Look-up'!$J:$J,0))</f>
        <v>418</v>
      </c>
      <c r="W10" s="282"/>
      <c r="X10" s="282">
        <f t="shared" ca="1" si="1"/>
        <v>0</v>
      </c>
      <c r="Y10" s="282"/>
      <c r="Z10" s="282"/>
      <c r="AB10" s="284" t="str">
        <f t="shared" ca="1" si="2"/>
        <v>TinMalaysia Smelting Corporation (MSC)</v>
      </c>
    </row>
    <row r="11" spans="1:34" s="283" customFormat="1" ht="51">
      <c r="A11" s="235" t="s">
        <v>900</v>
      </c>
      <c r="B11" s="236" t="str">
        <f ca="1">IF(LEN(A11)=0,"",INDEX('Smelter Look-up'!$A:$A,MATCH($A11,'Smelter Look-up'!$E:$E,0)))</f>
        <v>Tin</v>
      </c>
      <c r="C11" s="242" t="str">
        <f ca="1">IF(LEN(A11)=0,"",INDEX('Smelter Look-up'!$C:$C,MATCH($A11,'Smelter Look-up'!$E:$E,0)))</f>
        <v>PT Refined Bangka Tin</v>
      </c>
      <c r="D11" s="236"/>
      <c r="E11" s="236" t="str">
        <f ca="1">IF(ISERROR($V11),"",OFFSET('Smelter Look-up'!$D$4,$V11-4,0)&amp;"")</f>
        <v>INDONESIA</v>
      </c>
      <c r="F11" s="236" t="str">
        <f ca="1">IF(ISERROR($V11),"",OFFSET('Smelter Look-up'!$E$4,$V11-4,0))</f>
        <v>CID001460</v>
      </c>
      <c r="G11" s="236" t="str">
        <f ca="1">IF(C11=$X$4,"Enter smelter details", IF(ISERROR($V11),"",OFFSET('Smelter Look-up'!$F$4,$V11-4,0)))</f>
        <v>RMI</v>
      </c>
      <c r="H11" s="237">
        <f ca="1">IF(ISERROR($V11),"",OFFSET('Smelter Look-up'!$G$4,$V11-4,0))</f>
        <v>0</v>
      </c>
      <c r="I11" s="238" t="str">
        <f ca="1">IF(ISERROR($V11),"",OFFSET('Smelter Look-up'!$H$4,$V11-4,0))</f>
        <v>Sungailiat</v>
      </c>
      <c r="J11" s="238" t="str">
        <f ca="1">IF(ISERROR($V11),"",OFFSET('Smelter Look-up'!$I$4,$V11-4,0))</f>
        <v>Kepulauan Bangka Belitung</v>
      </c>
      <c r="K11" s="240"/>
      <c r="L11" s="240"/>
      <c r="M11" s="240"/>
      <c r="N11" s="240"/>
      <c r="O11" s="240"/>
      <c r="P11" s="239"/>
      <c r="Q11" s="241" t="s">
        <v>15451</v>
      </c>
      <c r="R11" s="236" t="str">
        <f ca="1">IF(ISERROR($V11),"",OFFSET('Smelter Look-up'!$C$4,$V11-4,0)&amp;"")</f>
        <v>PT Refined Bangka Tin</v>
      </c>
      <c r="S11" s="250" t="str">
        <f t="shared" ca="1" si="0"/>
        <v>ID</v>
      </c>
      <c r="T11" s="250" t="str">
        <f ca="1">IF(B11="","",IF(ISERROR(MATCH($J11,SorP!$B$1:$B$6230,0)),"",INDIRECT("'SorP'!$A$"&amp;MATCH($J11,SorP!$B$1:$B$6230,0))))</f>
        <v>ID-BB</v>
      </c>
      <c r="U11" s="280"/>
      <c r="V11" s="281">
        <f ca="1">IF(C11="",NA(),MATCH($B11&amp;$C11,'Smelter Look-up'!$J:$J,0))</f>
        <v>463</v>
      </c>
      <c r="W11" s="282"/>
      <c r="X11" s="282">
        <f t="shared" ca="1" si="1"/>
        <v>0</v>
      </c>
      <c r="Y11" s="282"/>
      <c r="Z11" s="282"/>
      <c r="AB11" s="284" t="str">
        <f t="shared" ca="1" si="2"/>
        <v>TinPT Refined Bangka Tin</v>
      </c>
    </row>
    <row r="12" spans="1:34" s="283" customFormat="1" ht="25.5">
      <c r="A12" s="235" t="s">
        <v>908</v>
      </c>
      <c r="B12" s="236" t="str">
        <f ca="1">IF(LEN(A12)=0,"",INDEX('Smelter Look-up'!$A:$A,MATCH($A12,'Smelter Look-up'!$E:$E,0)))</f>
        <v>Tin</v>
      </c>
      <c r="C12" s="242" t="str">
        <f ca="1">IF(LEN(A12)=0,"",INDEX('Smelter Look-up'!$C:$C,MATCH($A12,'Smelter Look-up'!$E:$E,0)))</f>
        <v>Thaisarco</v>
      </c>
      <c r="D12" s="236"/>
      <c r="E12" s="236" t="str">
        <f ca="1">IF(ISERROR($V12),"",OFFSET('Smelter Look-up'!$D$4,$V12-4,0)&amp;"")</f>
        <v>THAILAND</v>
      </c>
      <c r="F12" s="236" t="str">
        <f ca="1">IF(ISERROR($V12),"",OFFSET('Smelter Look-up'!$E$4,$V12-4,0))</f>
        <v>CID001898</v>
      </c>
      <c r="G12" s="236" t="str">
        <f ca="1">IF(C12=$X$4,"Enter smelter details", IF(ISERROR($V12),"",OFFSET('Smelter Look-up'!$F$4,$V12-4,0)))</f>
        <v>RMI</v>
      </c>
      <c r="H12" s="237">
        <f ca="1">IF(ISERROR($V12),"",OFFSET('Smelter Look-up'!$G$4,$V12-4,0))</f>
        <v>0</v>
      </c>
      <c r="I12" s="238" t="str">
        <f ca="1">IF(ISERROR($V12),"",OFFSET('Smelter Look-up'!$H$4,$V12-4,0))</f>
        <v>Amphur Muang</v>
      </c>
      <c r="J12" s="238" t="str">
        <f ca="1">IF(ISERROR($V12),"",OFFSET('Smelter Look-up'!$I$4,$V12-4,0))</f>
        <v>Phuket</v>
      </c>
      <c r="K12" s="240"/>
      <c r="L12" s="240"/>
      <c r="M12" s="240"/>
      <c r="N12" s="240"/>
      <c r="O12" s="240"/>
      <c r="P12" s="239"/>
      <c r="Q12" s="241" t="s">
        <v>15451</v>
      </c>
      <c r="R12" s="236" t="str">
        <f ca="1">IF(ISERROR($V12),"",OFFSET('Smelter Look-up'!$C$4,$V12-4,0)&amp;"")</f>
        <v>Thaisarco</v>
      </c>
      <c r="S12" s="250" t="str">
        <f t="shared" ca="1" si="0"/>
        <v>TH</v>
      </c>
      <c r="T12" s="250" t="str">
        <f ca="1">IF(B12="","",IF(ISERROR(MATCH($J12,SorP!$B$1:$B$6230,0)),"",INDIRECT("'SorP'!$A$"&amp;MATCH($J12,SorP!$B$1:$B$6230,0))))</f>
        <v>TH-83</v>
      </c>
      <c r="U12" s="280"/>
      <c r="V12" s="281">
        <f ca="1">IF(C12="",NA(),MATCH($B12&amp;$C12,'Smelter Look-up'!$J:$J,0))</f>
        <v>483</v>
      </c>
      <c r="W12" s="282"/>
      <c r="X12" s="282">
        <f t="shared" ca="1" si="1"/>
        <v>0</v>
      </c>
      <c r="Y12" s="282"/>
      <c r="Z12" s="282"/>
      <c r="AB12" s="284" t="str">
        <f t="shared" ca="1" si="2"/>
        <v>TinThaisarco</v>
      </c>
    </row>
    <row r="13" spans="1:34" s="283" customFormat="1" ht="89.25">
      <c r="A13" s="235" t="s">
        <v>877</v>
      </c>
      <c r="B13" s="236" t="str">
        <f ca="1">IF(LEN(A13)=0,"",INDEX('Smelter Look-up'!$A:$A,MATCH($A13,'Smelter Look-up'!$E:$E,0)))</f>
        <v>Tin</v>
      </c>
      <c r="C13" s="242" t="str">
        <f ca="1">IF(LEN(A13)=0,"",INDEX('Smelter Look-up'!$C:$C,MATCH($A13,'Smelter Look-up'!$E:$E,0)))</f>
        <v>Gejiu Non-Ferrous Metal Processing Co., Ltd.</v>
      </c>
      <c r="D13" s="236"/>
      <c r="E13" s="236" t="str">
        <f ca="1">IF(ISERROR($V13),"",OFFSET('Smelter Look-up'!$D$4,$V13-4,0)&amp;"")</f>
        <v>CHINA</v>
      </c>
      <c r="F13" s="236" t="str">
        <f ca="1">IF(ISERROR($V13),"",OFFSET('Smelter Look-up'!$E$4,$V13-4,0))</f>
        <v>CID000538</v>
      </c>
      <c r="G13" s="236" t="str">
        <f ca="1">IF(C13=$X$4,"Enter smelter details", IF(ISERROR($V13),"",OFFSET('Smelter Look-up'!$F$4,$V13-4,0)))</f>
        <v>RMI</v>
      </c>
      <c r="H13" s="237">
        <f ca="1">IF(ISERROR($V13),"",OFFSET('Smelter Look-up'!$G$4,$V13-4,0))</f>
        <v>0</v>
      </c>
      <c r="I13" s="238" t="str">
        <f ca="1">IF(ISERROR($V13),"",OFFSET('Smelter Look-up'!$H$4,$V13-4,0))</f>
        <v>Gejiu</v>
      </c>
      <c r="J13" s="238" t="str">
        <f ca="1">IF(ISERROR($V13),"",OFFSET('Smelter Look-up'!$I$4,$V13-4,0))</f>
        <v>Yunnan</v>
      </c>
      <c r="K13" s="240"/>
      <c r="L13" s="240"/>
      <c r="M13" s="240"/>
      <c r="N13" s="240"/>
      <c r="O13" s="240"/>
      <c r="P13" s="239"/>
      <c r="Q13" s="241" t="s">
        <v>15451</v>
      </c>
      <c r="R13" s="236" t="str">
        <f ca="1">IF(ISERROR($V13),"",OFFSET('Smelter Look-up'!$C$4,$V13-4,0)&amp;"")</f>
        <v>Gejiu Non-Ferrous Metal Processing Co., Ltd.</v>
      </c>
      <c r="S13" s="250" t="str">
        <f t="shared" ca="1" si="0"/>
        <v>CN</v>
      </c>
      <c r="T13" s="250" t="str">
        <f ca="1">IF(B13="","",IF(ISERROR(MATCH($J13,SorP!$B$1:$B$6230,0)),"",INDIRECT("'SorP'!$A$"&amp;MATCH($J13,SorP!$B$1:$B$6230,0))))</f>
        <v>CN-53</v>
      </c>
      <c r="U13" s="280"/>
      <c r="V13" s="281">
        <f ca="1">IF(C13="",NA(),MATCH($B13&amp;$C13,'Smelter Look-up'!$J:$J,0))</f>
        <v>392</v>
      </c>
      <c r="W13" s="282"/>
      <c r="X13" s="282">
        <f t="shared" ca="1" si="1"/>
        <v>0</v>
      </c>
      <c r="Y13" s="282"/>
      <c r="Z13" s="282"/>
      <c r="AB13" s="284" t="str">
        <f t="shared" ca="1" si="2"/>
        <v>TinGejiu Non-Ferrous Metal Processing Co., Ltd.</v>
      </c>
    </row>
    <row r="14" spans="1:34" s="283" customFormat="1" ht="51">
      <c r="A14" s="235" t="s">
        <v>891</v>
      </c>
      <c r="B14" s="236" t="str">
        <f ca="1">IF(LEN(A14)=0,"",INDEX('Smelter Look-up'!$A:$A,MATCH($A14,'Smelter Look-up'!$E:$E,0)))</f>
        <v>Tin</v>
      </c>
      <c r="C14" s="242" t="str">
        <f ca="1">IF(LEN(A14)=0,"",INDEX('Smelter Look-up'!$C:$C,MATCH($A14,'Smelter Look-up'!$E:$E,0)))</f>
        <v>PT Bangka Tin Industry</v>
      </c>
      <c r="D14" s="236"/>
      <c r="E14" s="236" t="str">
        <f ca="1">IF(ISERROR($V14),"",OFFSET('Smelter Look-up'!$D$4,$V14-4,0)&amp;"")</f>
        <v>INDONESIA</v>
      </c>
      <c r="F14" s="236" t="str">
        <f ca="1">IF(ISERROR($V14),"",OFFSET('Smelter Look-up'!$E$4,$V14-4,0))</f>
        <v>CID001419</v>
      </c>
      <c r="G14" s="236" t="str">
        <f ca="1">IF(C14=$X$4,"Enter smelter details", IF(ISERROR($V14),"",OFFSET('Smelter Look-up'!$F$4,$V14-4,0)))</f>
        <v>RMI</v>
      </c>
      <c r="H14" s="237">
        <f ca="1">IF(ISERROR($V14),"",OFFSET('Smelter Look-up'!$G$4,$V14-4,0))</f>
        <v>0</v>
      </c>
      <c r="I14" s="238" t="str">
        <f ca="1">IF(ISERROR($V14),"",OFFSET('Smelter Look-up'!$H$4,$V14-4,0))</f>
        <v>Sungailiat</v>
      </c>
      <c r="J14" s="238" t="str">
        <f ca="1">IF(ISERROR($V14),"",OFFSET('Smelter Look-up'!$I$4,$V14-4,0))</f>
        <v>Kepulauan Bangka Belitung</v>
      </c>
      <c r="K14" s="240"/>
      <c r="L14" s="240"/>
      <c r="M14" s="240"/>
      <c r="N14" s="240"/>
      <c r="O14" s="240"/>
      <c r="P14" s="239"/>
      <c r="Q14" s="241" t="s">
        <v>15451</v>
      </c>
      <c r="R14" s="236" t="str">
        <f ca="1">IF(ISERROR($V14),"",OFFSET('Smelter Look-up'!$C$4,$V14-4,0)&amp;"")</f>
        <v>PT Bangka Tin Industry</v>
      </c>
      <c r="S14" s="250" t="str">
        <f t="shared" ca="1" si="0"/>
        <v>ID</v>
      </c>
      <c r="T14" s="250" t="str">
        <f ca="1">IF(B14="","",IF(ISERROR(MATCH($J14,SorP!$B$1:$B$6230,0)),"",INDIRECT("'SorP'!$A$"&amp;MATCH($J14,SorP!$B$1:$B$6230,0))))</f>
        <v>ID-BB</v>
      </c>
      <c r="U14" s="280"/>
      <c r="V14" s="281">
        <f ca="1">IF(C14="",NA(),MATCH($B14&amp;$C14,'Smelter Look-up'!$J:$J,0))</f>
        <v>447</v>
      </c>
      <c r="W14" s="282"/>
      <c r="X14" s="282">
        <f t="shared" ca="1" si="1"/>
        <v>0</v>
      </c>
      <c r="Y14" s="282"/>
      <c r="Z14" s="282"/>
      <c r="AB14" s="284" t="str">
        <f t="shared" ca="1" si="2"/>
        <v>TinPT Bangka Tin Industry</v>
      </c>
    </row>
    <row r="15" spans="1:34" s="283" customFormat="1" ht="63.75">
      <c r="A15" s="235" t="s">
        <v>3026</v>
      </c>
      <c r="B15" s="236" t="str">
        <f ca="1">IF(LEN(A15)=0,"",INDEX('Smelter Look-up'!$A:$A,MATCH($A15,'Smelter Look-up'!$E:$E,0)))</f>
        <v>Tin</v>
      </c>
      <c r="C15" s="242" t="str">
        <f ca="1">IF(LEN(A15)=0,"",INDEX('Smelter Look-up'!$C:$C,MATCH($A15,'Smelter Look-up'!$E:$E,0)))</f>
        <v>Gejiu Jinye Mineral Company</v>
      </c>
      <c r="D15" s="236"/>
      <c r="E15" s="236" t="str">
        <f ca="1">IF(ISERROR($V15),"",OFFSET('Smelter Look-up'!$D$4,$V15-4,0)&amp;"")</f>
        <v>CHINA</v>
      </c>
      <c r="F15" s="236" t="str">
        <f ca="1">IF(ISERROR($V15),"",OFFSET('Smelter Look-up'!$E$4,$V15-4,0))</f>
        <v>CID002859</v>
      </c>
      <c r="G15" s="236" t="str">
        <f ca="1">IF(C15=$X$4,"Enter smelter details", IF(ISERROR($V15),"",OFFSET('Smelter Look-up'!$F$4,$V15-4,0)))</f>
        <v>RMI</v>
      </c>
      <c r="H15" s="237">
        <f ca="1">IF(ISERROR($V15),"",OFFSET('Smelter Look-up'!$G$4,$V15-4,0))</f>
        <v>0</v>
      </c>
      <c r="I15" s="238" t="str">
        <f ca="1">IF(ISERROR($V15),"",OFFSET('Smelter Look-up'!$H$4,$V15-4,0))</f>
        <v>Jijie</v>
      </c>
      <c r="J15" s="238" t="str">
        <f ca="1">IF(ISERROR($V15),"",OFFSET('Smelter Look-up'!$I$4,$V15-4,0))</f>
        <v>Yunnan</v>
      </c>
      <c r="K15" s="240"/>
      <c r="L15" s="240"/>
      <c r="M15" s="240"/>
      <c r="N15" s="240"/>
      <c r="O15" s="240"/>
      <c r="P15" s="239"/>
      <c r="Q15" s="241" t="s">
        <v>15451</v>
      </c>
      <c r="R15" s="236" t="str">
        <f ca="1">IF(ISERROR($V15),"",OFFSET('Smelter Look-up'!$C$4,$V15-4,0)&amp;"")</f>
        <v>Gejiu Jinye Mineral Company</v>
      </c>
      <c r="S15" s="250" t="str">
        <f t="shared" ca="1" si="0"/>
        <v>CN</v>
      </c>
      <c r="T15" s="250" t="str">
        <f ca="1">IF(B15="","",IF(ISERROR(MATCH($J15,SorP!$B$1:$B$6230,0)),"",INDIRECT("'SorP'!$A$"&amp;MATCH($J15,SorP!$B$1:$B$6230,0))))</f>
        <v>CN-53</v>
      </c>
      <c r="U15" s="280"/>
      <c r="V15" s="281">
        <f ca="1">IF(C15="",NA(),MATCH($B15&amp;$C15,'Smelter Look-up'!$J:$J,0))</f>
        <v>390</v>
      </c>
      <c r="W15" s="282"/>
      <c r="X15" s="282">
        <f t="shared" ca="1" si="1"/>
        <v>0</v>
      </c>
      <c r="Y15" s="282"/>
      <c r="Z15" s="282"/>
      <c r="AB15" s="284" t="str">
        <f t="shared" ca="1" si="2"/>
        <v>TinGejiu Jinye Mineral Company</v>
      </c>
    </row>
    <row r="16" spans="1:34" s="283" customFormat="1" ht="51">
      <c r="A16" s="235" t="s">
        <v>904</v>
      </c>
      <c r="B16" s="236" t="str">
        <f ca="1">IF(LEN(A16)=0,"",INDEX('Smelter Look-up'!$A:$A,MATCH($A16,'Smelter Look-up'!$E:$E,0)))</f>
        <v>Tin</v>
      </c>
      <c r="C16" s="242" t="str">
        <f ca="1">IF(LEN(A16)=0,"",INDEX('Smelter Look-up'!$C:$C,MATCH($A16,'Smelter Look-up'!$E:$E,0)))</f>
        <v>PT Tinindo Inter Nusa</v>
      </c>
      <c r="D16" s="236"/>
      <c r="E16" s="236" t="str">
        <f ca="1">IF(ISERROR($V16),"",OFFSET('Smelter Look-up'!$D$4,$V16-4,0)&amp;"")</f>
        <v>INDONESIA</v>
      </c>
      <c r="F16" s="236" t="str">
        <f ca="1">IF(ISERROR($V16),"",OFFSET('Smelter Look-up'!$E$4,$V16-4,0))</f>
        <v>CID001490</v>
      </c>
      <c r="G16" s="236" t="str">
        <f ca="1">IF(C16=$X$4,"Enter smelter details", IF(ISERROR($V16),"",OFFSET('Smelter Look-up'!$F$4,$V16-4,0)))</f>
        <v>RMI</v>
      </c>
      <c r="H16" s="237">
        <f ca="1">IF(ISERROR($V16),"",OFFSET('Smelter Look-up'!$G$4,$V16-4,0))</f>
        <v>0</v>
      </c>
      <c r="I16" s="238" t="str">
        <f ca="1">IF(ISERROR($V16),"",OFFSET('Smelter Look-up'!$H$4,$V16-4,0))</f>
        <v>Pangkal Pinang</v>
      </c>
      <c r="J16" s="238" t="str">
        <f ca="1">IF(ISERROR($V16),"",OFFSET('Smelter Look-up'!$I$4,$V16-4,0))</f>
        <v>Kepulauan Bangka Belitung</v>
      </c>
      <c r="K16" s="240"/>
      <c r="L16" s="240"/>
      <c r="M16" s="240"/>
      <c r="N16" s="240"/>
      <c r="O16" s="240"/>
      <c r="P16" s="239"/>
      <c r="Q16" s="241" t="s">
        <v>15451</v>
      </c>
      <c r="R16" s="236" t="str">
        <f ca="1">IF(ISERROR($V16),"",OFFSET('Smelter Look-up'!$C$4,$V16-4,0)&amp;"")</f>
        <v>PT Tinindo Inter Nusa</v>
      </c>
      <c r="S16" s="250" t="str">
        <f t="shared" ca="1" si="0"/>
        <v>ID</v>
      </c>
      <c r="T16" s="250" t="str">
        <f ca="1">IF(B16="","",IF(ISERROR(MATCH($J16,SorP!$B$1:$B$6230,0)),"",INDIRECT("'SorP'!$A$"&amp;MATCH($J16,SorP!$B$1:$B$6230,0))))</f>
        <v>ID-BB</v>
      </c>
      <c r="U16" s="280"/>
      <c r="V16" s="281">
        <f ca="1">IF(C16="",NA(),MATCH($B16&amp;$C16,'Smelter Look-up'!$J:$J,0))</f>
        <v>471</v>
      </c>
      <c r="W16" s="282"/>
      <c r="X16" s="282">
        <f t="shared" ca="1" si="1"/>
        <v>0</v>
      </c>
      <c r="Y16" s="282"/>
      <c r="Z16" s="282"/>
      <c r="AB16" s="284" t="str">
        <f t="shared" ca="1" si="2"/>
        <v>TinPT Tinindo Inter Nusa</v>
      </c>
    </row>
    <row r="17" spans="1:28" s="283" customFormat="1" ht="63.75">
      <c r="A17" s="235" t="s">
        <v>926</v>
      </c>
      <c r="B17" s="236" t="str">
        <f ca="1">IF(LEN(A17)=0,"",INDEX('Smelter Look-up'!$A:$A,MATCH($A17,'Smelter Look-up'!$E:$E,0)))</f>
        <v>Tin</v>
      </c>
      <c r="C17" s="242" t="str">
        <f ca="1">IF(LEN(A17)=0,"",INDEX('Smelter Look-up'!$C:$C,MATCH($A17,'Smelter Look-up'!$E:$E,0)))</f>
        <v>PT Timah (Persero) Tbk Kundur</v>
      </c>
      <c r="D17" s="236"/>
      <c r="E17" s="236" t="str">
        <f ca="1">IF(ISERROR($V17),"",OFFSET('Smelter Look-up'!$D$4,$V17-4,0)&amp;"")</f>
        <v>INDONESIA</v>
      </c>
      <c r="F17" s="236" t="str">
        <f ca="1">IF(ISERROR($V17),"",OFFSET('Smelter Look-up'!$E$4,$V17-4,0))</f>
        <v>CID001477</v>
      </c>
      <c r="G17" s="236" t="str">
        <f ca="1">IF(C17=$X$4,"Enter smelter details", IF(ISERROR($V17),"",OFFSET('Smelter Look-up'!$F$4,$V17-4,0)))</f>
        <v>RMI</v>
      </c>
      <c r="H17" s="237">
        <f ca="1">IF(ISERROR($V17),"",OFFSET('Smelter Look-up'!$G$4,$V17-4,0))</f>
        <v>0</v>
      </c>
      <c r="I17" s="238" t="str">
        <f ca="1">IF(ISERROR($V17),"",OFFSET('Smelter Look-up'!$H$4,$V17-4,0))</f>
        <v>Kundur</v>
      </c>
      <c r="J17" s="238" t="str">
        <f ca="1">IF(ISERROR($V17),"",OFFSET('Smelter Look-up'!$I$4,$V17-4,0))</f>
        <v>Riau</v>
      </c>
      <c r="K17" s="240"/>
      <c r="L17" s="240"/>
      <c r="M17" s="240"/>
      <c r="N17" s="240"/>
      <c r="O17" s="240"/>
      <c r="P17" s="239"/>
      <c r="Q17" s="241" t="s">
        <v>15451</v>
      </c>
      <c r="R17" s="236" t="str">
        <f ca="1">IF(ISERROR($V17),"",OFFSET('Smelter Look-up'!$C$4,$V17-4,0)&amp;"")</f>
        <v>PT Timah (Persero) Tbk Kundur</v>
      </c>
      <c r="S17" s="250" t="str">
        <f t="shared" ca="1" si="0"/>
        <v>ID</v>
      </c>
      <c r="T17" s="250" t="str">
        <f ca="1">IF(B17="","",IF(ISERROR(MATCH($J17,SorP!$B$1:$B$6230,0)),"",INDIRECT("'SorP'!$A$"&amp;MATCH($J17,SorP!$B$1:$B$6230,0))))</f>
        <v>ID-RI</v>
      </c>
      <c r="U17" s="280"/>
      <c r="V17" s="281">
        <f ca="1">IF(C17="",NA(),MATCH($B17&amp;$C17,'Smelter Look-up'!$J:$J,0))</f>
        <v>469</v>
      </c>
      <c r="W17" s="282"/>
      <c r="X17" s="282">
        <f t="shared" ca="1" si="1"/>
        <v>0</v>
      </c>
      <c r="Y17" s="282"/>
      <c r="Z17" s="282"/>
      <c r="AB17" s="284" t="str">
        <f t="shared" ca="1" si="2"/>
        <v>TinPT Timah (Persero) Tbk Kundur</v>
      </c>
    </row>
    <row r="18" spans="1:28" s="283" customFormat="1" ht="25.5">
      <c r="A18" s="235" t="s">
        <v>884</v>
      </c>
      <c r="B18" s="236" t="str">
        <f ca="1">IF(LEN(A18)=0,"",INDEX('Smelter Look-up'!$A:$A,MATCH($A18,'Smelter Look-up'!$E:$E,0)))</f>
        <v>Tin</v>
      </c>
      <c r="C18" s="242" t="str">
        <f ca="1">IF(LEN(A18)=0,"",INDEX('Smelter Look-up'!$C:$C,MATCH($A18,'Smelter Look-up'!$E:$E,0)))</f>
        <v>Minsur</v>
      </c>
      <c r="D18" s="236"/>
      <c r="E18" s="236" t="str">
        <f ca="1">IF(ISERROR($V18),"",OFFSET('Smelter Look-up'!$D$4,$V18-4,0)&amp;"")</f>
        <v>PERU</v>
      </c>
      <c r="F18" s="236" t="str">
        <f ca="1">IF(ISERROR($V18),"",OFFSET('Smelter Look-up'!$E$4,$V18-4,0))</f>
        <v>CID001182</v>
      </c>
      <c r="G18" s="236" t="str">
        <f ca="1">IF(C18=$X$4,"Enter smelter details", IF(ISERROR($V18),"",OFFSET('Smelter Look-up'!$F$4,$V18-4,0)))</f>
        <v>RMI</v>
      </c>
      <c r="H18" s="237">
        <f ca="1">IF(ISERROR($V18),"",OFFSET('Smelter Look-up'!$G$4,$V18-4,0))</f>
        <v>0</v>
      </c>
      <c r="I18" s="238" t="str">
        <f ca="1">IF(ISERROR($V18),"",OFFSET('Smelter Look-up'!$H$4,$V18-4,0))</f>
        <v>Paracas</v>
      </c>
      <c r="J18" s="238" t="str">
        <f ca="1">IF(ISERROR($V18),"",OFFSET('Smelter Look-up'!$I$4,$V18-4,0))</f>
        <v>Ika</v>
      </c>
      <c r="K18" s="240"/>
      <c r="L18" s="240"/>
      <c r="M18" s="240"/>
      <c r="N18" s="240"/>
      <c r="O18" s="240"/>
      <c r="P18" s="239"/>
      <c r="Q18" s="241" t="s">
        <v>15451</v>
      </c>
      <c r="R18" s="236" t="str">
        <f ca="1">IF(ISERROR($V18),"",OFFSET('Smelter Look-up'!$C$4,$V18-4,0)&amp;"")</f>
        <v>Minsur</v>
      </c>
      <c r="S18" s="250" t="str">
        <f t="shared" ca="1" si="0"/>
        <v>PE</v>
      </c>
      <c r="T18" s="250" t="str">
        <f ca="1">IF(B18="","",IF(ISERROR(MATCH($J18,SorP!$B$1:$B$6230,0)),"",INDIRECT("'SorP'!$A$"&amp;MATCH($J18,SorP!$B$1:$B$6230,0))))</f>
        <v>PE-ICA</v>
      </c>
      <c r="U18" s="280"/>
      <c r="V18" s="281">
        <f ca="1">IF(C18="",NA(),MATCH($B18&amp;$C18,'Smelter Look-up'!$J:$J,0))</f>
        <v>428</v>
      </c>
      <c r="W18" s="282"/>
      <c r="X18" s="282">
        <f t="shared" ca="1" si="1"/>
        <v>0</v>
      </c>
      <c r="Y18" s="282"/>
      <c r="Z18" s="282"/>
      <c r="AB18" s="284" t="str">
        <f t="shared" ca="1" si="2"/>
        <v>TinMinsur</v>
      </c>
    </row>
    <row r="19" spans="1:28" s="283" customFormat="1" ht="51">
      <c r="A19" s="235" t="s">
        <v>902</v>
      </c>
      <c r="B19" s="236" t="str">
        <f ca="1">IF(LEN(A19)=0,"",INDEX('Smelter Look-up'!$A:$A,MATCH($A19,'Smelter Look-up'!$E:$E,0)))</f>
        <v>Tin</v>
      </c>
      <c r="C19" s="242" t="str">
        <f ca="1">IF(LEN(A19)=0,"",INDEX('Smelter Look-up'!$C:$C,MATCH($A19,'Smelter Look-up'!$E:$E,0)))</f>
        <v>PT Stanindo Inti Perkasa</v>
      </c>
      <c r="D19" s="236"/>
      <c r="E19" s="236" t="str">
        <f ca="1">IF(ISERROR($V19),"",OFFSET('Smelter Look-up'!$D$4,$V19-4,0)&amp;"")</f>
        <v>INDONESIA</v>
      </c>
      <c r="F19" s="236" t="str">
        <f ca="1">IF(ISERROR($V19),"",OFFSET('Smelter Look-up'!$E$4,$V19-4,0))</f>
        <v>CID001468</v>
      </c>
      <c r="G19" s="236" t="str">
        <f ca="1">IF(C19=$X$4,"Enter smelter details", IF(ISERROR($V19),"",OFFSET('Smelter Look-up'!$F$4,$V19-4,0)))</f>
        <v>RMI</v>
      </c>
      <c r="H19" s="237">
        <f ca="1">IF(ISERROR($V19),"",OFFSET('Smelter Look-up'!$G$4,$V19-4,0))</f>
        <v>0</v>
      </c>
      <c r="I19" s="238" t="str">
        <f ca="1">IF(ISERROR($V19),"",OFFSET('Smelter Look-up'!$H$4,$V19-4,0))</f>
        <v>Pangkal Pinang</v>
      </c>
      <c r="J19" s="238" t="str">
        <f ca="1">IF(ISERROR($V19),"",OFFSET('Smelter Look-up'!$I$4,$V19-4,0))</f>
        <v>Kepulauan Bangka Belitung</v>
      </c>
      <c r="K19" s="240"/>
      <c r="L19" s="240"/>
      <c r="M19" s="240"/>
      <c r="N19" s="240"/>
      <c r="O19" s="240"/>
      <c r="P19" s="239"/>
      <c r="Q19" s="241" t="s">
        <v>15451</v>
      </c>
      <c r="R19" s="236" t="str">
        <f ca="1">IF(ISERROR($V19),"",OFFSET('Smelter Look-up'!$C$4,$V19-4,0)&amp;"")</f>
        <v>PT Stanindo Inti Perkasa</v>
      </c>
      <c r="S19" s="250" t="str">
        <f t="shared" ca="1" si="0"/>
        <v>ID</v>
      </c>
      <c r="T19" s="250" t="str">
        <f ca="1">IF(B19="","",IF(ISERROR(MATCH($J19,SorP!$B$1:$B$6230,0)),"",INDIRECT("'SorP'!$A$"&amp;MATCH($J19,SorP!$B$1:$B$6230,0))))</f>
        <v>ID-BB</v>
      </c>
      <c r="U19" s="280"/>
      <c r="V19" s="281">
        <f ca="1">IF(C19="",NA(),MATCH($B19&amp;$C19,'Smelter Look-up'!$J:$J,0))</f>
        <v>465</v>
      </c>
      <c r="W19" s="282"/>
      <c r="X19" s="282">
        <f t="shared" ca="1" si="1"/>
        <v>0</v>
      </c>
      <c r="Y19" s="282"/>
      <c r="Z19" s="282"/>
      <c r="AB19" s="284" t="str">
        <f t="shared" ca="1" si="2"/>
        <v>TinPT Stanindo Inti Perkasa</v>
      </c>
    </row>
    <row r="20" spans="1:28" s="283" customFormat="1" ht="38.25">
      <c r="A20" s="235" t="s">
        <v>894</v>
      </c>
      <c r="B20" s="236" t="str">
        <f ca="1">IF(LEN(A20)=0,"",INDEX('Smelter Look-up'!$A:$A,MATCH($A20,'Smelter Look-up'!$E:$E,0)))</f>
        <v>Tin</v>
      </c>
      <c r="C20" s="242" t="str">
        <f ca="1">IF(LEN(A20)=0,"",INDEX('Smelter Look-up'!$C:$C,MATCH($A20,'Smelter Look-up'!$E:$E,0)))</f>
        <v>PT DS Jaya Abadi</v>
      </c>
      <c r="D20" s="236"/>
      <c r="E20" s="236" t="str">
        <f ca="1">IF(ISERROR($V20),"",OFFSET('Smelter Look-up'!$D$4,$V20-4,0)&amp;"")</f>
        <v>INDONESIA</v>
      </c>
      <c r="F20" s="236" t="str">
        <f ca="1">IF(ISERROR($V20),"",OFFSET('Smelter Look-up'!$E$4,$V20-4,0))</f>
        <v>CID001434</v>
      </c>
      <c r="G20" s="236" t="str">
        <f ca="1">IF(C20=$X$4,"Enter smelter details", IF(ISERROR($V20),"",OFFSET('Smelter Look-up'!$F$4,$V20-4,0)))</f>
        <v>RMI</v>
      </c>
      <c r="H20" s="237">
        <f ca="1">IF(ISERROR($V20),"",OFFSET('Smelter Look-up'!$G$4,$V20-4,0))</f>
        <v>0</v>
      </c>
      <c r="I20" s="238" t="str">
        <f ca="1">IF(ISERROR($V20),"",OFFSET('Smelter Look-up'!$H$4,$V20-4,0))</f>
        <v>Pangkal Pinang</v>
      </c>
      <c r="J20" s="238" t="str">
        <f ca="1">IF(ISERROR($V20),"",OFFSET('Smelter Look-up'!$I$4,$V20-4,0))</f>
        <v>Kepulauan Bangka Belitung</v>
      </c>
      <c r="K20" s="240"/>
      <c r="L20" s="240"/>
      <c r="M20" s="240"/>
      <c r="N20" s="240"/>
      <c r="O20" s="240"/>
      <c r="P20" s="239"/>
      <c r="Q20" s="241" t="s">
        <v>15451</v>
      </c>
      <c r="R20" s="236" t="str">
        <f ca="1">IF(ISERROR($V20),"",OFFSET('Smelter Look-up'!$C$4,$V20-4,0)&amp;"")</f>
        <v>PT DS Jaya Abadi</v>
      </c>
      <c r="S20" s="250" t="str">
        <f t="shared" ca="1" si="0"/>
        <v>ID</v>
      </c>
      <c r="T20" s="250" t="str">
        <f ca="1">IF(B20="","",IF(ISERROR(MATCH($J20,SorP!$B$1:$B$6230,0)),"",INDIRECT("'SorP'!$A$"&amp;MATCH($J20,SorP!$B$1:$B$6230,0))))</f>
        <v>ID-BB</v>
      </c>
      <c r="U20" s="280"/>
      <c r="V20" s="281">
        <f ca="1">IF(C20="",NA(),MATCH($B20&amp;$C20,'Smelter Look-up'!$J:$J,0))</f>
        <v>450</v>
      </c>
      <c r="W20" s="282"/>
      <c r="X20" s="282">
        <f t="shared" ca="1" si="1"/>
        <v>0</v>
      </c>
      <c r="Y20" s="282"/>
      <c r="Z20" s="282"/>
      <c r="AB20" s="284" t="str">
        <f t="shared" ca="1" si="2"/>
        <v>TinPT DS Jaya Abadi</v>
      </c>
    </row>
    <row r="21" spans="1:28" s="283" customFormat="1" ht="63.75">
      <c r="A21" s="235" t="s">
        <v>903</v>
      </c>
      <c r="B21" s="236" t="str">
        <f ca="1">IF(LEN(A21)=0,"",INDEX('Smelter Look-up'!$A:$A,MATCH($A21,'Smelter Look-up'!$E:$E,0)))</f>
        <v>Tin</v>
      </c>
      <c r="C21" s="242" t="str">
        <f ca="1">IF(LEN(A21)=0,"",INDEX('Smelter Look-up'!$C:$C,MATCH($A21,'Smelter Look-up'!$E:$E,0)))</f>
        <v>PT Timah (Persero) Tbk Mentok</v>
      </c>
      <c r="D21" s="236"/>
      <c r="E21" s="236" t="str">
        <f ca="1">IF(ISERROR($V21),"",OFFSET('Smelter Look-up'!$D$4,$V21-4,0)&amp;"")</f>
        <v>INDONESIA</v>
      </c>
      <c r="F21" s="236" t="str">
        <f ca="1">IF(ISERROR($V21),"",OFFSET('Smelter Look-up'!$E$4,$V21-4,0))</f>
        <v>CID001482</v>
      </c>
      <c r="G21" s="236" t="str">
        <f ca="1">IF(C21=$X$4,"Enter smelter details", IF(ISERROR($V21),"",OFFSET('Smelter Look-up'!$F$4,$V21-4,0)))</f>
        <v>RMI</v>
      </c>
      <c r="H21" s="237">
        <f ca="1">IF(ISERROR($V21),"",OFFSET('Smelter Look-up'!$G$4,$V21-4,0))</f>
        <v>0</v>
      </c>
      <c r="I21" s="238" t="str">
        <f ca="1">IF(ISERROR($V21),"",OFFSET('Smelter Look-up'!$H$4,$V21-4,0))</f>
        <v>Mentok</v>
      </c>
      <c r="J21" s="238" t="str">
        <f ca="1">IF(ISERROR($V21),"",OFFSET('Smelter Look-up'!$I$4,$V21-4,0))</f>
        <v>Kepulauan Bangka Belitung</v>
      </c>
      <c r="K21" s="240"/>
      <c r="L21" s="240"/>
      <c r="M21" s="240"/>
      <c r="N21" s="240"/>
      <c r="O21" s="240"/>
      <c r="P21" s="239"/>
      <c r="Q21" s="241" t="s">
        <v>15451</v>
      </c>
      <c r="R21" s="236" t="str">
        <f ca="1">IF(ISERROR($V21),"",OFFSET('Smelter Look-up'!$C$4,$V21-4,0)&amp;"")</f>
        <v>PT Timah (Persero) Tbk Mentok</v>
      </c>
      <c r="S21" s="250" t="str">
        <f t="shared" ca="1" si="0"/>
        <v>ID</v>
      </c>
      <c r="T21" s="250" t="str">
        <f ca="1">IF(B21="","",IF(ISERROR(MATCH($J21,SorP!$B$1:$B$6230,0)),"",INDIRECT("'SorP'!$A$"&amp;MATCH($J21,SorP!$B$1:$B$6230,0))))</f>
        <v>ID-BB</v>
      </c>
      <c r="U21" s="280"/>
      <c r="V21" s="281">
        <f ca="1">IF(C21="",NA(),MATCH($B21&amp;$C21,'Smelter Look-up'!$J:$J,0))</f>
        <v>470</v>
      </c>
      <c r="W21" s="282"/>
      <c r="X21" s="282">
        <f t="shared" ca="1" si="1"/>
        <v>0</v>
      </c>
      <c r="Y21" s="282"/>
      <c r="Z21" s="282"/>
      <c r="AB21" s="284" t="str">
        <f t="shared" ca="1" si="2"/>
        <v>TinPT Timah (Persero) Tbk Mentok</v>
      </c>
    </row>
    <row r="22" spans="1:28" s="283" customFormat="1" ht="38.25">
      <c r="A22" s="235" t="s">
        <v>893</v>
      </c>
      <c r="B22" s="236" t="str">
        <f ca="1">IF(LEN(A22)=0,"",INDEX('Smelter Look-up'!$A:$A,MATCH($A22,'Smelter Look-up'!$E:$E,0)))</f>
        <v>Tin</v>
      </c>
      <c r="C22" s="242" t="str">
        <f ca="1">IF(LEN(A22)=0,"",INDEX('Smelter Look-up'!$C:$C,MATCH($A22,'Smelter Look-up'!$E:$E,0)))</f>
        <v>PT Bukit Timah</v>
      </c>
      <c r="D22" s="236"/>
      <c r="E22" s="236" t="str">
        <f ca="1">IF(ISERROR($V22),"",OFFSET('Smelter Look-up'!$D$4,$V22-4,0)&amp;"")</f>
        <v>INDONESIA</v>
      </c>
      <c r="F22" s="236" t="str">
        <f ca="1">IF(ISERROR($V22),"",OFFSET('Smelter Look-up'!$E$4,$V22-4,0))</f>
        <v>CID001428</v>
      </c>
      <c r="G22" s="236" t="str">
        <f ca="1">IF(C22=$X$4,"Enter smelter details", IF(ISERROR($V22),"",OFFSET('Smelter Look-up'!$F$4,$V22-4,0)))</f>
        <v>RMI</v>
      </c>
      <c r="H22" s="237">
        <f ca="1">IF(ISERROR($V22),"",OFFSET('Smelter Look-up'!$G$4,$V22-4,0))</f>
        <v>0</v>
      </c>
      <c r="I22" s="238" t="str">
        <f ca="1">IF(ISERROR($V22),"",OFFSET('Smelter Look-up'!$H$4,$V22-4,0))</f>
        <v>Pangkal Pinang</v>
      </c>
      <c r="J22" s="238" t="str">
        <f ca="1">IF(ISERROR($V22),"",OFFSET('Smelter Look-up'!$I$4,$V22-4,0))</f>
        <v>Kepulauan Bangka Belitung</v>
      </c>
      <c r="K22" s="240"/>
      <c r="L22" s="240"/>
      <c r="M22" s="240"/>
      <c r="N22" s="240"/>
      <c r="O22" s="240"/>
      <c r="P22" s="239"/>
      <c r="Q22" s="241" t="s">
        <v>15451</v>
      </c>
      <c r="R22" s="236" t="str">
        <f ca="1">IF(ISERROR($V22),"",OFFSET('Smelter Look-up'!$C$4,$V22-4,0)&amp;"")</f>
        <v>PT Bukit Timah</v>
      </c>
      <c r="S22" s="250" t="str">
        <f t="shared" ca="1" si="0"/>
        <v>ID</v>
      </c>
      <c r="T22" s="250" t="str">
        <f ca="1">IF(B22="","",IF(ISERROR(MATCH($J22,SorP!$B$1:$B$6230,0)),"",INDIRECT("'SorP'!$A$"&amp;MATCH($J22,SorP!$B$1:$B$6230,0))))</f>
        <v>ID-BB</v>
      </c>
      <c r="U22" s="280"/>
      <c r="V22" s="281">
        <f ca="1">IF(C22="",NA(),MATCH($B22&amp;$C22,'Smelter Look-up'!$J:$J,0))</f>
        <v>449</v>
      </c>
      <c r="W22" s="282"/>
      <c r="X22" s="282">
        <f t="shared" ca="1" si="1"/>
        <v>0</v>
      </c>
      <c r="Y22" s="282"/>
      <c r="Z22" s="282"/>
      <c r="AB22" s="284" t="str">
        <f t="shared" ca="1" si="2"/>
        <v>TinPT Bukit Timah</v>
      </c>
    </row>
    <row r="23" spans="1:28" s="283" customFormat="1" ht="63.75">
      <c r="A23" s="235" t="s">
        <v>881</v>
      </c>
      <c r="B23" s="236" t="str">
        <f ca="1">IF(LEN(A23)=0,"",INDEX('Smelter Look-up'!$A:$A,MATCH($A23,'Smelter Look-up'!$E:$E,0)))</f>
        <v>Tin</v>
      </c>
      <c r="C23" s="242" t="str">
        <f ca="1">IF(LEN(A23)=0,"",INDEX('Smelter Look-up'!$C:$C,MATCH($A23,'Smelter Look-up'!$E:$E,0)))</f>
        <v>China Tin Group Co., Ltd.</v>
      </c>
      <c r="D23" s="236"/>
      <c r="E23" s="236" t="str">
        <f ca="1">IF(ISERROR($V23),"",OFFSET('Smelter Look-up'!$D$4,$V23-4,0)&amp;"")</f>
        <v>CHINA</v>
      </c>
      <c r="F23" s="236" t="str">
        <f ca="1">IF(ISERROR($V23),"",OFFSET('Smelter Look-up'!$E$4,$V23-4,0))</f>
        <v>CID001070</v>
      </c>
      <c r="G23" s="236" t="str">
        <f ca="1">IF(C23=$X$4,"Enter smelter details", IF(ISERROR($V23),"",OFFSET('Smelter Look-up'!$F$4,$V23-4,0)))</f>
        <v>RMI</v>
      </c>
      <c r="H23" s="237">
        <f ca="1">IF(ISERROR($V23),"",OFFSET('Smelter Look-up'!$G$4,$V23-4,0))</f>
        <v>0</v>
      </c>
      <c r="I23" s="238" t="str">
        <f ca="1">IF(ISERROR($V23),"",OFFSET('Smelter Look-up'!$H$4,$V23-4,0))</f>
        <v>Laibin</v>
      </c>
      <c r="J23" s="238" t="str">
        <f ca="1">IF(ISERROR($V23),"",OFFSET('Smelter Look-up'!$I$4,$V23-4,0))</f>
        <v>Guangxi</v>
      </c>
      <c r="K23" s="240"/>
      <c r="L23" s="240"/>
      <c r="M23" s="240"/>
      <c r="N23" s="240"/>
      <c r="O23" s="240"/>
      <c r="P23" s="239"/>
      <c r="Q23" s="241" t="s">
        <v>15451</v>
      </c>
      <c r="R23" s="236" t="str">
        <f ca="1">IF(ISERROR($V23),"",OFFSET('Smelter Look-up'!$C$4,$V23-4,0)&amp;"")</f>
        <v>China Tin Group Co., Ltd.</v>
      </c>
      <c r="S23" s="250" t="str">
        <f t="shared" ca="1" si="0"/>
        <v>CN</v>
      </c>
      <c r="T23" s="250" t="str">
        <f ca="1">IF(B23="","",IF(ISERROR(MATCH($J23,SorP!$B$1:$B$6230,0)),"",INDIRECT("'SorP'!$A$"&amp;MATCH($J23,SorP!$B$1:$B$6230,0))))</f>
        <v>CN-45</v>
      </c>
      <c r="U23" s="280"/>
      <c r="V23" s="281">
        <f ca="1">IF(C23="",NA(),MATCH($B23&amp;$C23,'Smelter Look-up'!$J:$J,0))</f>
        <v>362</v>
      </c>
      <c r="W23" s="282"/>
      <c r="X23" s="282">
        <f t="shared" ca="1" si="1"/>
        <v>0</v>
      </c>
      <c r="Y23" s="282"/>
      <c r="Z23" s="282"/>
      <c r="AB23" s="284" t="str">
        <f t="shared" ca="1" si="2"/>
        <v>TinChina Tin Group Co., Ltd.</v>
      </c>
    </row>
    <row r="24" spans="1:28" s="283" customFormat="1" ht="76.5">
      <c r="A24" s="235" t="s">
        <v>917</v>
      </c>
      <c r="B24" s="236" t="str">
        <f ca="1">IF(LEN(A24)=0,"",INDEX('Smelter Look-up'!$A:$A,MATCH($A24,'Smelter Look-up'!$E:$E,0)))</f>
        <v>Tungsten</v>
      </c>
      <c r="C24" s="242" t="str">
        <f ca="1">IF(LEN(A24)=0,"",INDEX('Smelter Look-up'!$C:$C,MATCH($A24,'Smelter Look-up'!$E:$E,0)))</f>
        <v>Global Tungsten &amp; Powders Corp.</v>
      </c>
      <c r="D24" s="236"/>
      <c r="E24" s="236" t="str">
        <f ca="1">IF(ISERROR($V24),"",OFFSET('Smelter Look-up'!$D$4,$V24-4,0)&amp;"")</f>
        <v>UNITED STATES OF AMERICA</v>
      </c>
      <c r="F24" s="236" t="str">
        <f ca="1">IF(ISERROR($V24),"",OFFSET('Smelter Look-up'!$E$4,$V24-4,0))</f>
        <v>CID000568</v>
      </c>
      <c r="G24" s="236" t="str">
        <f ca="1">IF(C24=$X$4,"Enter smelter details", IF(ISERROR($V24),"",OFFSET('Smelter Look-up'!$F$4,$V24-4,0)))</f>
        <v>RMI</v>
      </c>
      <c r="H24" s="237">
        <f ca="1">IF(ISERROR($V24),"",OFFSET('Smelter Look-up'!$G$4,$V24-4,0))</f>
        <v>0</v>
      </c>
      <c r="I24" s="238" t="str">
        <f ca="1">IF(ISERROR($V24),"",OFFSET('Smelter Look-up'!$H$4,$V24-4,0))</f>
        <v>Towanda</v>
      </c>
      <c r="J24" s="238" t="str">
        <f ca="1">IF(ISERROR($V24),"",OFFSET('Smelter Look-up'!$I$4,$V24-4,0))</f>
        <v>Pennsylvania</v>
      </c>
      <c r="K24" s="240"/>
      <c r="L24" s="240"/>
      <c r="M24" s="240"/>
      <c r="N24" s="240"/>
      <c r="O24" s="240"/>
      <c r="P24" s="239"/>
      <c r="Q24" s="241" t="s">
        <v>15451</v>
      </c>
      <c r="R24" s="236" t="str">
        <f ca="1">IF(ISERROR($V24),"",OFFSET('Smelter Look-up'!$C$4,$V24-4,0)&amp;"")</f>
        <v>Global Tungsten &amp; Powders Corp.</v>
      </c>
      <c r="S24" s="250" t="str">
        <f t="shared" ca="1" si="0"/>
        <v>US</v>
      </c>
      <c r="T24" s="250" t="str">
        <f ca="1">IF(B24="","",IF(ISERROR(MATCH($J24,SorP!$B$1:$B$6230,0)),"",INDIRECT("'SorP'!$A$"&amp;MATCH($J24,SorP!$B$1:$B$6230,0))))</f>
        <v>US-PA</v>
      </c>
      <c r="U24" s="280"/>
      <c r="V24" s="281">
        <f ca="1">IF(C24="",NA(),MATCH($B24&amp;$C24,'Smelter Look-up'!$J:$J,0))</f>
        <v>528</v>
      </c>
      <c r="W24" s="282"/>
      <c r="X24" s="282">
        <f t="shared" ca="1" si="1"/>
        <v>0</v>
      </c>
      <c r="Y24" s="282"/>
      <c r="Z24" s="282"/>
      <c r="AB24" s="284" t="str">
        <f t="shared" ca="1" si="2"/>
        <v>TungstenGlobal Tungsten &amp; Powders Corp.</v>
      </c>
    </row>
    <row r="25" spans="1:28" s="283" customFormat="1" ht="63.75">
      <c r="A25" s="235" t="s">
        <v>925</v>
      </c>
      <c r="B25" s="236" t="str">
        <f ca="1">IF(LEN(A25)=0,"",INDEX('Smelter Look-up'!$A:$A,MATCH($A25,'Smelter Look-up'!$E:$E,0)))</f>
        <v>Tungsten</v>
      </c>
      <c r="C25" s="242" t="str">
        <f ca="1">IF(LEN(A25)=0,"",INDEX('Smelter Look-up'!$C:$C,MATCH($A25,'Smelter Look-up'!$E:$E,0)))</f>
        <v>Xiamen Tungsten Co., Ltd.</v>
      </c>
      <c r="D25" s="236"/>
      <c r="E25" s="236" t="str">
        <f ca="1">IF(ISERROR($V25),"",OFFSET('Smelter Look-up'!$D$4,$V25-4,0)&amp;"")</f>
        <v>CHINA</v>
      </c>
      <c r="F25" s="236" t="str">
        <f ca="1">IF(ISERROR($V25),"",OFFSET('Smelter Look-up'!$E$4,$V25-4,0))</f>
        <v>CID002082</v>
      </c>
      <c r="G25" s="236" t="str">
        <f ca="1">IF(C25=$X$4,"Enter smelter details", IF(ISERROR($V25),"",OFFSET('Smelter Look-up'!$F$4,$V25-4,0)))</f>
        <v>RMI</v>
      </c>
      <c r="H25" s="237">
        <f ca="1">IF(ISERROR($V25),"",OFFSET('Smelter Look-up'!$G$4,$V25-4,0))</f>
        <v>0</v>
      </c>
      <c r="I25" s="238" t="str">
        <f ca="1">IF(ISERROR($V25),"",OFFSET('Smelter Look-up'!$H$4,$V25-4,0))</f>
        <v>Xiamen</v>
      </c>
      <c r="J25" s="238" t="str">
        <f ca="1">IF(ISERROR($V25),"",OFFSET('Smelter Look-up'!$I$4,$V25-4,0))</f>
        <v>Fujian</v>
      </c>
      <c r="K25" s="240"/>
      <c r="L25" s="240"/>
      <c r="M25" s="240"/>
      <c r="N25" s="240"/>
      <c r="O25" s="240"/>
      <c r="P25" s="239"/>
      <c r="Q25" s="241" t="s">
        <v>15451</v>
      </c>
      <c r="R25" s="236" t="str">
        <f ca="1">IF(ISERROR($V25),"",OFFSET('Smelter Look-up'!$C$4,$V25-4,0)&amp;"")</f>
        <v>Xiamen Tungsten Co., Ltd.</v>
      </c>
      <c r="S25" s="250" t="str">
        <f t="shared" ca="1" si="0"/>
        <v>CN</v>
      </c>
      <c r="T25" s="250" t="str">
        <f ca="1">IF(B25="","",IF(ISERROR(MATCH($J25,SorP!$B$1:$B$6230,0)),"",INDIRECT("'SorP'!$A$"&amp;MATCH($J25,SorP!$B$1:$B$6230,0))))</f>
        <v>CN-35</v>
      </c>
      <c r="U25" s="280"/>
      <c r="V25" s="281">
        <f ca="1">IF(C25="",NA(),MATCH($B25&amp;$C25,'Smelter Look-up'!$J:$J,0))</f>
        <v>571</v>
      </c>
      <c r="W25" s="282"/>
      <c r="X25" s="282">
        <f t="shared" ca="1" si="1"/>
        <v>0</v>
      </c>
      <c r="Y25" s="282"/>
      <c r="Z25" s="282"/>
      <c r="AB25" s="284" t="str">
        <f t="shared" ca="1" si="2"/>
        <v>TungstenXiamen Tungsten Co., Ltd.</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43257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18" sqref="B18"/>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47.25">
      <c r="A6" s="162"/>
      <c r="B6" s="153" t="s">
        <v>15437</v>
      </c>
      <c r="C6" s="116" t="s">
        <v>15438</v>
      </c>
      <c r="D6" s="116"/>
      <c r="E6" s="32"/>
      <c r="F6"/>
    </row>
    <row r="7" spans="1:6" s="33" customFormat="1" ht="63">
      <c r="A7" s="163"/>
      <c r="B7" s="153" t="s">
        <v>15439</v>
      </c>
      <c r="C7" s="116" t="s">
        <v>15440</v>
      </c>
      <c r="D7" s="116"/>
      <c r="E7" s="32"/>
      <c r="F7"/>
    </row>
    <row r="8" spans="1:6" s="33" customFormat="1" ht="31.5">
      <c r="A8" s="163"/>
      <c r="B8" s="153" t="s">
        <v>15441</v>
      </c>
      <c r="C8" s="116" t="s">
        <v>15442</v>
      </c>
      <c r="D8" s="116"/>
      <c r="E8" s="32"/>
      <c r="F8"/>
    </row>
    <row r="9" spans="1:6" s="33" customFormat="1" ht="15.75">
      <c r="A9" s="163"/>
      <c r="B9" s="153" t="s">
        <v>15443</v>
      </c>
      <c r="C9" s="116" t="s">
        <v>15444</v>
      </c>
      <c r="D9" s="116"/>
      <c r="E9" s="32"/>
      <c r="F9"/>
    </row>
    <row r="10" spans="1:6" s="33" customFormat="1" ht="15.75">
      <c r="A10" s="163"/>
      <c r="B10" s="153" t="s">
        <v>15445</v>
      </c>
      <c r="C10" s="116" t="s">
        <v>15446</v>
      </c>
      <c r="D10" s="116"/>
      <c r="E10" s="32"/>
      <c r="F10"/>
    </row>
    <row r="11" spans="1:6" s="33" customFormat="1" ht="15.75">
      <c r="A11" s="163"/>
      <c r="B11" s="153" t="s">
        <v>15447</v>
      </c>
      <c r="C11" s="116" t="s">
        <v>15448</v>
      </c>
      <c r="D11" s="116"/>
      <c r="E11" s="32"/>
      <c r="F11"/>
    </row>
    <row r="12" spans="1:6" s="33" customFormat="1" ht="15.75">
      <c r="A12" s="163"/>
      <c r="B12" s="153" t="s">
        <v>15449</v>
      </c>
      <c r="C12" s="116" t="s">
        <v>15450</v>
      </c>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2018-06-06T23:37:41Z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