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O:\CD Systems\3TG\Declarations\"/>
    </mc:Choice>
  </mc:AlternateContent>
  <workbookProtection workbookPassword="E31B" lockStructure="1"/>
  <bookViews>
    <workbookView xWindow="0" yWindow="0" windowWidth="28800" windowHeight="120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3" i="6" s="1"/>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12" i="6"/>
  <c r="B48" i="6"/>
  <c r="B33" i="6"/>
  <c r="G33" i="6" s="1"/>
  <c r="B38" i="6"/>
  <c r="G38" i="6" s="1"/>
  <c r="B28" i="6"/>
  <c r="C13"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C22" i="5"/>
  <c r="B104" i="5"/>
  <c r="B101" i="5"/>
  <c r="C89" i="5"/>
  <c r="B88" i="5"/>
  <c r="B85" i="5"/>
  <c r="B74" i="5"/>
  <c r="B69" i="5"/>
  <c r="C68" i="5"/>
  <c r="C66" i="5"/>
  <c r="C61" i="5"/>
  <c r="B60" i="5"/>
  <c r="C58" i="5"/>
  <c r="C54" i="5"/>
  <c r="C53" i="5"/>
  <c r="C50" i="5"/>
  <c r="C46" i="5"/>
  <c r="C45" i="5"/>
  <c r="B42" i="5"/>
  <c r="B38" i="5"/>
  <c r="C37" i="5"/>
  <c r="C35" i="5"/>
  <c r="C33" i="5"/>
  <c r="B31" i="5"/>
  <c r="C30" i="5"/>
  <c r="C23"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G21" i="6"/>
  <c r="H21" i="6" s="1"/>
  <c r="B26" i="6"/>
  <c r="G26" i="6" s="1"/>
  <c r="H26" i="6" s="1"/>
  <c r="C26" i="6" s="1"/>
  <c r="B36" i="6"/>
  <c r="B46" i="6"/>
  <c r="G46" i="6" s="1"/>
  <c r="G31" i="6"/>
  <c r="H22" i="6"/>
  <c r="D22" i="6" s="1"/>
  <c r="G47" i="6"/>
  <c r="G42" i="6"/>
  <c r="K65" i="6"/>
  <c r="G27" i="6"/>
  <c r="G32" i="6"/>
  <c r="G43" i="6"/>
  <c r="G35" i="6"/>
  <c r="G28"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K64" i="6" l="1"/>
  <c r="F50" i="6"/>
  <c r="F63" i="6"/>
  <c r="H41" i="6"/>
  <c r="F36" i="6"/>
  <c r="H36" i="6" s="1"/>
  <c r="H25" i="6"/>
  <c r="C25" i="6" s="1"/>
  <c r="D25" i="6"/>
  <c r="V57" i="5"/>
  <c r="R57" i="5" s="1"/>
  <c r="V541" i="5"/>
  <c r="F541" i="5" s="1"/>
  <c r="V73" i="5"/>
  <c r="R73" i="5" s="1"/>
  <c r="V33" i="5"/>
  <c r="G33" i="5" s="1"/>
  <c r="V17" i="5"/>
  <c r="V468" i="5"/>
  <c r="E468" i="5" s="1"/>
  <c r="AB8" i="5"/>
  <c r="V28" i="5"/>
  <c r="AB67" i="5"/>
  <c r="AB23" i="5"/>
  <c r="AB35" i="5"/>
  <c r="V51" i="5"/>
  <c r="G51" i="5" s="1"/>
  <c r="AB58" i="5"/>
  <c r="V64" i="5"/>
  <c r="AB83" i="5"/>
  <c r="AB10" i="5"/>
  <c r="V12" i="5"/>
  <c r="AB20" i="5"/>
  <c r="AB42" i="5"/>
  <c r="V61" i="5"/>
  <c r="G61" i="5" s="1"/>
  <c r="AB101" i="5"/>
  <c r="V22" i="5"/>
  <c r="V6" i="5"/>
  <c r="V13" i="5"/>
  <c r="V18" i="5"/>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V21" i="5"/>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V9" i="5"/>
  <c r="V16" i="5"/>
  <c r="V20"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V10" i="5"/>
  <c r="V11" i="5"/>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V19" i="5"/>
  <c r="AB25" i="5"/>
  <c r="AB29" i="5"/>
  <c r="V39" i="5"/>
  <c r="AB51" i="5"/>
  <c r="AB59" i="5"/>
  <c r="AB72" i="5"/>
  <c r="V86" i="5"/>
  <c r="V25" i="5"/>
  <c r="V32" i="5"/>
  <c r="G32" i="5" s="1"/>
  <c r="V36" i="5"/>
  <c r="G36" i="5" s="1"/>
  <c r="AB46" i="5"/>
  <c r="AB53" i="5"/>
  <c r="V59" i="5"/>
  <c r="G59" i="5" s="1"/>
  <c r="AB66" i="5"/>
  <c r="V77" i="5"/>
  <c r="G77" i="5" s="1"/>
  <c r="V94" i="5"/>
  <c r="G94" i="5" s="1"/>
  <c r="V5" i="5"/>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36" i="6" l="1"/>
  <c r="D36" i="6"/>
  <c r="D35" i="6"/>
  <c r="C35" i="6"/>
  <c r="G57" i="5"/>
  <c r="I57" i="5"/>
  <c r="E57" i="5"/>
  <c r="I541" i="5"/>
  <c r="G541" i="5"/>
  <c r="E541" i="5"/>
  <c r="H541" i="5"/>
  <c r="J57" i="5"/>
  <c r="R541" i="5"/>
  <c r="F57" i="5"/>
  <c r="H57" i="5"/>
  <c r="G73" i="5"/>
  <c r="F468" i="5"/>
  <c r="J541" i="5"/>
  <c r="F73" i="5"/>
  <c r="H73" i="5"/>
  <c r="J73" i="5"/>
  <c r="I73" i="5"/>
  <c r="J33" i="5"/>
  <c r="R33" i="5"/>
  <c r="R17" i="5"/>
  <c r="F33" i="5"/>
  <c r="I33" i="5"/>
  <c r="E33" i="5"/>
  <c r="X33" i="5" s="1"/>
  <c r="E73" i="5"/>
  <c r="X73" i="5" s="1"/>
  <c r="J468" i="5"/>
  <c r="H468" i="5"/>
  <c r="R468" i="5"/>
  <c r="G468" i="5"/>
  <c r="I468"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R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R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R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R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R9" i="5"/>
  <c r="H58" i="5"/>
  <c r="R58" i="5"/>
  <c r="F58" i="5"/>
  <c r="E58" i="5"/>
  <c r="J58" i="5"/>
  <c r="I58" i="5"/>
  <c r="E37" i="5"/>
  <c r="H37" i="5"/>
  <c r="I37" i="5"/>
  <c r="R37" i="5"/>
  <c r="F37" i="5"/>
  <c r="J37" i="5"/>
  <c r="H70" i="5"/>
  <c r="J70" i="5"/>
  <c r="E70" i="5"/>
  <c r="I70" i="5"/>
  <c r="F70" i="5"/>
  <c r="R70" i="5"/>
  <c r="R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R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R20" i="5"/>
  <c r="R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R18" i="5"/>
  <c r="R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R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R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22" i="5"/>
  <c r="G28"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27"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7" i="5"/>
  <c r="T9" i="5"/>
  <c r="T8" i="5"/>
  <c r="T6" i="5"/>
  <c r="T5" i="5"/>
  <c r="T15" i="5"/>
  <c r="T21" i="5"/>
  <c r="T12" i="5"/>
  <c r="T14" i="5"/>
  <c r="S17" i="5"/>
  <c r="T20" i="5"/>
  <c r="T17" i="5"/>
  <c r="T19" i="5"/>
  <c r="T11" i="5"/>
  <c r="T16" i="5"/>
  <c r="T10" i="5"/>
  <c r="T18" i="5"/>
  <c r="H65" i="6" l="1"/>
  <c r="D65" i="6" s="1"/>
  <c r="C65" i="6"/>
  <c r="H64" i="6"/>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27" i="5"/>
  <c r="S351" i="5"/>
  <c r="S542" i="5"/>
  <c r="S145" i="5"/>
  <c r="S181" i="5"/>
  <c r="S6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5" i="5"/>
  <c r="S15" i="5"/>
  <c r="S20" i="5"/>
  <c r="S21" i="5"/>
  <c r="S9" i="5"/>
  <c r="S19" i="5"/>
  <c r="S11" i="5"/>
  <c r="S6" i="5"/>
  <c r="S16" i="5"/>
  <c r="S18" i="5"/>
  <c r="S10" i="5"/>
  <c r="S7" i="5"/>
  <c r="S13" i="5"/>
  <c r="S12" i="5"/>
  <c r="S14" i="5"/>
  <c r="S8"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<sst xmlns="http://schemas.openxmlformats.org/spreadsheetml/2006/main" count="21833" uniqueCount="15512">
  <si>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</si>
  <si>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</si>
  <si>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</si>
  <si>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</si>
  <si>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</si>
  <si>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</si>
  <si>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</si>
  <si>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</si>
  <si>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</si>
  <si>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</si>
  <si>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</si>
  <si>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</si>
  <si>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</si>
  <si>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</si>
  <si>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</si>
  <si>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</si>
  <si>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</si>
  <si>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</si>
  <si>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</si>
  <si>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</si>
  <si>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</si>
  <si>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</si>
  <si>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</si>
  <si>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</si>
  <si>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</si>
  <si>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</si>
  <si>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</si>
  <si>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</si>
  <si>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</si>
  <si>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</si>
  <si>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</si>
  <si>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</si>
  <si>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</si>
  <si>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</si>
  <si>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</si>
  <si>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</si>
  <si>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</si>
  <si>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</si>
  <si>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</si>
  <si>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</si>
  <si>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</si>
  <si>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</si>
  <si>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</si>
  <si>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</si>
  <si>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</si>
  <si>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</si>
  <si>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</si>
  <si>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</si>
  <si>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</si>
  <si>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</si>
  <si>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</si>
  <si>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</si>
  <si>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</si>
  <si>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</si>
  <si>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</si>
  <si>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</si>
  <si>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</si>
  <si>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</si>
  <si>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</si>
  <si>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</si>
  <si>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</si>
  <si>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</si>
  <si>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</si>
  <si>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</si>
  <si>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</si>
  <si>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</si>
  <si>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</si>
  <si>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</si>
  <si>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</si>
  <si>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</si>
  <si>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</si>
  <si>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</si>
  <si>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</si>
  <si>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</si>
  <si>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</si>
  <si>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</si>
  <si>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</si>
  <si>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</si>
  <si>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</si>
  <si>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</si>
  <si>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</si>
  <si>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</si>
  <si>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</si>
  <si>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</si>
  <si>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</si>
  <si>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</si>
  <si>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</si>
  <si>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</si>
  <si>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</si>
  <si>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</si>
  <si>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</si>
  <si>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</si>
  <si>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</si>
  <si>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</si>
  <si>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</si>
  <si>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</si>
  <si>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</si>
  <si>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</si>
  <si>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</si>
  <si>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</si>
  <si>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</si>
  <si>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</si>
  <si>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</si>
  <si>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</si>
  <si>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</si>
  <si>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</si>
  <si>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</si>
  <si>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</si>
  <si>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</si>
  <si>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</si>
  <si>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</si>
  <si>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</si>
  <si>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</si>
  <si>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</si>
  <si>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</si>
  <si>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</si>
  <si>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</si>
  <si>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</si>
  <si>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</si>
  <si>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</si>
  <si>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</si>
  <si>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</si>
  <si>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</si>
  <si>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</si>
  <si>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</si>
  <si>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</si>
  <si>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</si>
  <si>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</si>
  <si>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</si>
  <si>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</si>
  <si>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</si>
  <si>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</si>
  <si>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</si>
  <si>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</si>
  <si>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</si>
  <si>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</si>
  <si>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</si>
  <si>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</si>
  <si>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</si>
  <si>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</si>
  <si>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</si>
  <si>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</si>
  <si>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</si>
  <si>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</si>
  <si>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</si>
  <si>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</si>
  <si>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</si>
  <si>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</si>
  <si>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</si>
  <si>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</si>
  <si>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</si>
  <si>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</si>
  <si>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</si>
  <si>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</si>
  <si>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</si>
  <si>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</si>
  <si>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</si>
  <si>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</si>
  <si>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</si>
  <si>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</si>
  <si>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</si>
  <si>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</si>
  <si>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</si>
  <si>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</si>
  <si>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</si>
  <si>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</si>
  <si>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</si>
  <si>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</si>
  <si>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</si>
  <si>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</si>
  <si>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</si>
  <si>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</si>
  <si>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</si>
  <si>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</si>
  <si>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</si>
  <si>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</si>
  <si>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</si>
  <si>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</si>
  <si>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</si>
  <si>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</si>
  <si>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</si>
  <si>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</si>
  <si>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</si>
  <si>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</si>
  <si>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</si>
  <si>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</si>
  <si>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</si>
  <si>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</si>
  <si>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</si>
  <si>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</si>
  <si>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</si>
  <si>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</si>
  <si>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</si>
  <si>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</si>
  <si>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</si>
  <si>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</si>
  <si>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</si>
  <si>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</si>
  <si>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</si>
  <si>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</si>
  <si>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</si>
  <si>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</si>
  <si>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</si>
  <si>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</si>
  <si>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</si>
  <si>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</si>
  <si>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</si>
  <si>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</si>
  <si>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</si>
  <si>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</si>
  <si>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</si>
  <si>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</si>
  <si>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</si>
  <si>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</si>
  <si>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</si>
  <si>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</si>
  <si>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</si>
  <si>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</si>
  <si>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</si>
  <si>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</si>
  <si>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</si>
  <si>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</si>
  <si>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</si>
  <si>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</si>
  <si>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</si>
  <si>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</si>
  <si>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</si>
  <si>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</si>
  <si>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</si>
  <si>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</si>
  <si>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</si>
  <si>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</si>
  <si>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</si>
  <si>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</si>
  <si>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</si>
  <si>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</si>
  <si>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</si>
  <si>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</si>
  <si>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</si>
  <si>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</si>
  <si>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</si>
  <si>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</si>
  <si>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</si>
  <si>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</si>
  <si>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</si>
  <si>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</si>
  <si>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</si>
  <si>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</si>
  <si>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</si>
  <si>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</si>
  <si>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</si>
  <si>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</si>
  <si>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</si>
  <si>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</si>
  <si>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</si>
  <si>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</si>
  <si>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</si>
  <si>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</si>
  <si>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</si>
  <si>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</si>
  <si>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</si>
  <si>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</si>
  <si>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</si>
  <si>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</si>
  <si>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</si>
  <si>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</si>
  <si>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</si>
  <si>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</si>
  <si>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</si>
  <si>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</si>
  <si>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</si>
  <si>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</si>
  <si>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</si>
  <si>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</si>
  <si>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</si>
  <si>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</si>
  <si>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</si>
  <si>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</si>
  <si>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</si>
  <si>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</si>
  <si>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</si>
  <si>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</si>
  <si>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</si>
  <si>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</si>
  <si>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</si>
  <si>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</si>
  <si>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</si>
  <si>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</si>
  <si>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</si>
  <si>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</si>
  <si>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</si>
  <si>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</si>
  <si>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</si>
  <si>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</si>
  <si>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</si>
  <si>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</si>
  <si>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</si>
  <si>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</si>
  <si>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</si>
  <si>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</si>
  <si>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</si>
  <si>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</si>
  <si>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</si>
  <si>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</si>
  <si>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</si>
  <si>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</si>
  <si>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</si>
  <si>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</si>
  <si>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</si>
  <si>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</si>
  <si>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</si>
  <si>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</si>
  <si>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</si>
  <si>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</si>
  <si>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</si>
  <si>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</si>
  <si>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</si>
  <si>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</si>
  <si>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</si>
  <si>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</si>
  <si>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</si>
  <si>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</si>
  <si>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</si>
  <si>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</si>
  <si>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</si>
  <si>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</si>
  <si>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</si>
  <si>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</si>
  <si>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</si>
  <si>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</si>
  <si>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</si>
  <si>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</si>
  <si>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</si>
  <si>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</si>
  <si>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</si>
  <si>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</si>
  <si>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</si>
  <si>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</si>
  <si>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</si>
  <si>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</si>
  <si>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</si>
  <si>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</si>
  <si>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</si>
  <si>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</si>
  <si>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</si>
  <si>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</si>
  <si>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</si>
  <si>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</si>
  <si>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</si>
  <si>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</si>
  <si>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</si>
  <si>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</si>
  <si>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</si>
  <si>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</si>
  <si>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</si>
  <si>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</si>
  <si>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</si>
  <si>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</si>
  <si>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</si>
  <si>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</si>
  <si>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</si>
  <si>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</si>
  <si>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</si>
  <si>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</si>
  <si>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</si>
  <si>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</si>
  <si>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</si>
  <si>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</si>
  <si>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</si>
  <si>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</si>
  <si>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</si>
  <si>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</si>
  <si>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</si>
  <si>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</si>
  <si>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</si>
  <si>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</si>
  <si>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</si>
  <si>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</si>
  <si>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</si>
  <si>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</si>
  <si>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</si>
  <si>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</si>
  <si>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</si>
  <si>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</si>
  <si>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</si>
  <si>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</si>
  <si>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</si>
  <si>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</si>
  <si>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</si>
  <si>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</si>
  <si>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</si>
  <si>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</si>
  <si>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</si>
  <si>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</si>
  <si>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</si>
  <si>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</si>
  <si>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</si>
  <si>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</si>
  <si>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</si>
  <si>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</si>
  <si>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</si>
  <si>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</si>
  <si>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</si>
  <si>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</si>
  <si>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</si>
  <si>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</si>
  <si>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</si>
  <si>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</si>
  <si>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</si>
  <si>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</si>
  <si>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</si>
  <si>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</si>
  <si>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</si>
  <si>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</si>
  <si>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</si>
  <si>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</si>
  <si>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</si>
  <si>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</si>
  <si>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</si>
  <si>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</si>
  <si>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</si>
  <si>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</si>
  <si>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</si>
  <si>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</si>
  <si>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</si>
  <si>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</si>
  <si>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</si>
  <si>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</si>
  <si>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</si>
  <si>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</si>
  <si>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</si>
  <si>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</si>
  <si>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</si>
  <si>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</si>
  <si>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</si>
  <si>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</si>
  <si>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</si>
  <si>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</si>
  <si>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</si>
  <si>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</si>
  <si>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</si>
  <si>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</si>
  <si>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</si>
  <si>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</si>
  <si>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</si>
  <si>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</si>
  <si>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</si>
  <si>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</si>
  <si>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</si>
  <si>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</si>
  <si>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</si>
  <si>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</si>
  <si>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</si>
  <si>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</si>
  <si>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</si>
  <si>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</si>
  <si>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</si>
  <si>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</si>
  <si>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</si>
  <si>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</si>
  <si>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</si>
  <si>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</si>
  <si>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</si>
  <si>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</si>
  <si>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</si>
  <si>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</si>
  <si>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</si>
  <si>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</si>
  <si>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</si>
  <si>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</si>
  <si>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</si>
  <si>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</si>
  <si>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</si>
  <si>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</si>
  <si>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</si>
  <si>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</si>
  <si>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</si>
  <si>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</si>
  <si>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</si>
  <si>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</si>
  <si>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</si>
  <si>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</si>
  <si>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</si>
  <si>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</si>
  <si>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</si>
  <si>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</si>
  <si>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</si>
  <si>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</si>
  <si>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</si>
  <si>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</si>
  <si>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</si>
  <si>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</si>
  <si>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</si>
  <si>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</si>
  <si>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</si>
  <si>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</si>
  <si>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</si>
  <si>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</si>
  <si>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</si>
  <si>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</si>
  <si>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</si>
  <si>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</si>
  <si>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</si>
  <si>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</si>
  <si>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</si>
  <si>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</si>
  <si>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</si>
  <si>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</si>
  <si>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</si>
  <si>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</si>
  <si>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</si>
  <si>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</si>
  <si>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</si>
  <si>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</si>
  <si>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</si>
  <si>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</si>
  <si>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</si>
  <si>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</si>
  <si>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</si>
  <si>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</si>
  <si>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</si>
  <si>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</si>
  <si>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</si>
  <si>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</si>
  <si>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</si>
  <si>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</si>
  <si>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</si>
  <si>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</si>
  <si>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</si>
  <si>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</si>
  <si>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</si>
  <si>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</si>
  <si>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</si>
  <si>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</si>
  <si>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</si>
  <si>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</si>
  <si>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</si>
  <si>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</si>
  <si>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</si>
  <si>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</si>
  <si>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</si>
  <si>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</si>
  <si>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</si>
  <si>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</si>
  <si>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</si>
  <si>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</si>
  <si>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</si>
  <si>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</si>
  <si>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</si>
  <si>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</si>
  <si>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</si>
  <si>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</si>
  <si>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</si>
  <si>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</si>
  <si>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</si>
  <si>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</si>
  <si>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</si>
  <si>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</si>
  <si>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</si>
  <si>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</si>
  <si>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</si>
  <si>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</si>
  <si>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</si>
  <si>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</si>
  <si>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</si>
  <si>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</si>
  <si>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</si>
  <si>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</si>
  <si>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</si>
  <si>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</si>
  <si>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</si>
  <si>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</si>
  <si>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</si>
  <si>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</si>
  <si>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</si>
  <si>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</si>
  <si>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</si>
  <si>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</si>
  <si>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</si>
  <si>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</si>
  <si>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</si>
  <si>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</si>
  <si>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</si>
  <si>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</si>
  <si>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</si>
  <si>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</si>
  <si>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</si>
  <si>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</si>
  <si>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</si>
  <si>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</si>
  <si>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</si>
  <si>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</si>
  <si>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</si>
  <si>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</si>
  <si>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</si>
  <si>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</si>
  <si>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</si>
  <si>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</si>
  <si>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</si>
  <si>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</si>
  <si>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</si>
  <si>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</si>
  <si>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</si>
  <si>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</si>
  <si>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</si>
  <si>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</si>
  <si>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</si>
  <si>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</si>
  <si>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</si>
  <si>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</si>
  <si>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</si>
  <si>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</si>
  <si>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</si>
  <si>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</si>
  <si>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</si>
  <si>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</si>
  <si>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</si>
  <si>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</si>
  <si>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</si>
  <si>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</si>
  <si>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</si>
  <si>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</si>
  <si>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</si>
  <si>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</si>
  <si>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</si>
  <si>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</si>
  <si>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</si>
  <si>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</si>
  <si>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</si>
  <si>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</si>
  <si>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</si>
  <si>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</si>
  <si>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</si>
  <si>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</si>
  <si>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</si>
  <si>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</si>
  <si>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</si>
  <si>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</si>
  <si>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</si>
  <si>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</si>
  <si>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</si>
  <si>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</si>
  <si>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</si>
  <si>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</si>
  <si>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</si>
  <si>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</si>
  <si>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</si>
  <si>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</si>
  <si>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</si>
  <si>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</si>
  <si>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</si>
  <si>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</si>
  <si>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</si>
  <si>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</si>
  <si>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</si>
  <si>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</si>
  <si>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</si>
  <si>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</si>
  <si>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</si>
  <si>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</si>
  <si>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</si>
  <si>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</si>
  <si>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</si>
  <si>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</si>
  <si>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</si>
  <si>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</si>
  <si>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</si>
  <si>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</si>
  <si>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</si>
  <si>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</si>
  <si>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</si>
  <si>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</si>
  <si>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</si>
  <si>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</si>
  <si>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</si>
  <si>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</si>
  <si>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</si>
  <si>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</si>
  <si>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</si>
  <si>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</si>
  <si>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</si>
  <si>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</si>
  <si>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</si>
  <si>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</si>
  <si>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</si>
  <si>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</si>
  <si>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</si>
  <si>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</si>
  <si>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</si>
  <si>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</si>
  <si>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</si>
  <si>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</si>
  <si>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</si>
  <si>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</si>
  <si>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</si>
  <si>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</si>
  <si>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</si>
  <si>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</si>
  <si>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</si>
  <si>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</si>
  <si>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</si>
  <si>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</si>
  <si>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</si>
  <si>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</si>
  <si>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</si>
  <si>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</si>
  <si>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</si>
  <si>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</si>
  <si>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</si>
  <si>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</si>
  <si>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</si>
  <si>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</si>
  <si>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</si>
  <si>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</si>
  <si>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</si>
  <si>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</si>
  <si>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</si>
  <si>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</si>
  <si>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</si>
  <si>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</si>
  <si>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</si>
  <si>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</si>
  <si>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</si>
  <si>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</si>
  <si>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</si>
  <si>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</si>
  <si>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</si>
  <si>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</si>
  <si>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</si>
  <si>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</si>
  <si>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</si>
  <si>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</si>
  <si>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</si>
  <si>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</si>
  <si>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</si>
  <si>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</si>
  <si>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</si>
  <si>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</si>
  <si>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</si>
  <si>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</si>
  <si>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</si>
  <si>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</si>
  <si>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</si>
  <si>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</si>
  <si>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</si>
  <si>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</si>
  <si>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</si>
  <si>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</si>
  <si>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</si>
  <si>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</si>
  <si>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</si>
  <si>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</si>
  <si>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</si>
  <si>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</si>
  <si>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</si>
  <si>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</si>
  <si>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</si>
  <si>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</si>
  <si>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</si>
  <si>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</si>
  <si>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</si>
  <si>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</si>
  <si>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</si>
  <si>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</si>
  <si>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</si>
  <si>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</si>
  <si>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</si>
  <si>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</si>
  <si>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</si>
  <si>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</si>
  <si>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</si>
  <si>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</si>
  <si>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</si>
  <si>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</si>
  <si>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</si>
  <si>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</si>
  <si>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</si>
  <si>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</si>
  <si>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</si>
  <si>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</si>
  <si>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</si>
  <si>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</si>
  <si>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</si>
  <si>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</si>
  <si>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</si>
  <si>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</si>
  <si>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</si>
  <si>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</si>
  <si>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</si>
  <si>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</si>
  <si>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</si>
  <si>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</si>
  <si>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</si>
  <si>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</si>
  <si>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</si>
  <si>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</si>
  <si>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</si>
  <si>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</si>
  <si>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</si>
  <si>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</si>
  <si>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</si>
  <si>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</si>
  <si>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</si>
  <si>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</si>
  <si>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</si>
  <si>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</si>
  <si>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</si>
  <si>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</si>
  <si>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</si>
  <si>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</si>
  <si>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</si>
  <si>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</si>
  <si>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</si>
  <si>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</si>
  <si>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</si>
  <si>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</si>
  <si>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</si>
  <si>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</si>
  <si>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</si>
  <si>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</si>
  <si>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</si>
  <si>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</si>
  <si>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</si>
  <si>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</si>
  <si>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</si>
  <si>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</si>
  <si>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</si>
  <si>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</si>
  <si>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</si>
  <si>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</si>
  <si>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</si>
  <si>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</si>
  <si>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</si>
  <si>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</si>
  <si>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</si>
  <si>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</si>
  <si>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</si>
  <si>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</si>
  <si>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</si>
  <si>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</si>
  <si>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</si>
  <si>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</si>
  <si>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</si>
  <si>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</si>
  <si>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</si>
  <si>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</si>
  <si>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</si>
  <si>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</si>
  <si>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</si>
  <si>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</si>
  <si>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</si>
  <si>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</si>
  <si>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</si>
  <si>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</si>
  <si>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</si>
  <si>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</si>
  <si>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</si>
  <si>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</si>
  <si>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</si>
  <si>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</si>
  <si>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</si>
  <si>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</si>
  <si>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</si>
  <si>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</si>
  <si>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</si>
  <si>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</si>
  <si>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</si>
  <si>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</si>
  <si>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</si>
  <si>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</si>
  <si>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</si>
  <si>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</si>
  <si>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</si>
  <si>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</si>
  <si>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</si>
  <si>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</si>
  <si>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</si>
  <si>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</si>
  <si>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</si>
  <si>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</si>
  <si>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</si>
  <si>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</si>
  <si>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</si>
  <si>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</si>
  <si>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</si>
  <si>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</si>
  <si>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</si>
  <si>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</si>
  <si>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</si>
  <si>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</si>
  <si>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</si>
  <si>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</si>
  <si>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</si>
  <si>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</si>
  <si>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</si>
  <si>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</si>
  <si>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</si>
  <si>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</si>
  <si>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</si>
  <si>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</si>
  <si>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</si>
  <si>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</si>
  <si>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</si>
  <si>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</si>
  <si>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</si>
  <si>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</si>
  <si>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</si>
  <si>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</si>
  <si>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</si>
  <si>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</si>
  <si>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</si>
  <si>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</si>
  <si>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</si>
  <si>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</si>
  <si>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</si>
  <si>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</si>
  <si>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</si>
  <si>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</si>
  <si>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</si>
  <si>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</si>
  <si>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</si>
  <si>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</si>
  <si>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</si>
  <si>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</si>
  <si>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</si>
  <si>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</si>
  <si>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</si>
  <si>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</si>
  <si>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</si>
  <si>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</si>
  <si>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</si>
  <si>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</si>
  <si>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</si>
  <si>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</si>
  <si>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</si>
  <si>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</si>
  <si>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</si>
  <si>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</si>
  <si>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</si>
  <si>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</si>
  <si>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</si>
  <si>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</si>
  <si>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</si>
  <si>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</si>
  <si>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</si>
  <si>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</si>
  <si>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</si>
  <si>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</si>
  <si>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</si>
  <si>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</si>
  <si>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</si>
  <si>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</si>
  <si>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</si>
  <si>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</si>
  <si>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</si>
  <si>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</si>
  <si>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</si>
  <si>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</si>
  <si>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</si>
  <si>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</si>
  <si>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</si>
  <si>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</si>
  <si>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</si>
  <si>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</si>
  <si>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</si>
  <si>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</si>
  <si>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</si>
  <si>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</si>
  <si>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</si>
  <si>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</si>
  <si>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</si>
  <si>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</si>
  <si>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</si>
  <si>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</si>
  <si>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</si>
  <si>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</si>
  <si>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</si>
  <si>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</si>
  <si>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</si>
  <si>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</si>
  <si>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</si>
  <si>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</si>
  <si>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</si>
  <si>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</si>
  <si>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</si>
  <si>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</si>
  <si>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</si>
  <si>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</si>
  <si>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</si>
  <si>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</si>
  <si>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</si>
  <si>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</si>
  <si>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</si>
  <si>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</si>
  <si>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</si>
  <si>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</si>
  <si>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</si>
  <si>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</si>
  <si>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</si>
  <si>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</si>
  <si>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</si>
  <si>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</si>
  <si>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</si>
  <si>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</si>
  <si>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</si>
  <si>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</si>
  <si>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</si>
  <si>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</si>
  <si>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</si>
  <si>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</si>
  <si>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</si>
  <si>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</si>
  <si>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</si>
  <si>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</si>
  <si>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</si>
  <si>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</si>
  <si>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</si>
  <si>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</si>
  <si>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</si>
  <si>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</si>
  <si>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</si>
  <si>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</si>
  <si>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</si>
  <si>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</si>
  <si>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</si>
  <si>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</si>
  <si>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</si>
  <si>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</si>
  <si>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</si>
  <si>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</si>
  <si>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</si>
  <si>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</si>
  <si>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</si>
  <si>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</si>
  <si>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</si>
  <si>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</si>
  <si>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</si>
  <si>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</si>
  <si>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</si>
  <si>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</si>
  <si>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</si>
  <si>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</si>
  <si>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</si>
  <si>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</si>
  <si>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</si>
  <si>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</si>
  <si>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</si>
  <si>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</si>
  <si>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</si>
  <si>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</si>
  <si>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</si>
  <si>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</si>
  <si>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</si>
  <si>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</si>
  <si>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</si>
  <si>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</si>
  <si>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</si>
  <si>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</si>
  <si>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</si>
  <si>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</si>
  <si>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</si>
  <si>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</si>
  <si>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</si>
  <si>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</si>
  <si>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</si>
  <si>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</si>
  <si>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</si>
  <si>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</si>
  <si>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</si>
  <si>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</si>
  <si>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</si>
  <si>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</si>
  <si>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</si>
  <si>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</si>
  <si>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</si>
  <si>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</si>
  <si>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</si>
  <si>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</si>
  <si>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</si>
  <si>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</si>
  <si>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</si>
  <si>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</si>
  <si>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</si>
  <si>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</si>
  <si>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</si>
  <si>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</si>
  <si>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</si>
  <si>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</si>
  <si>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</si>
  <si>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</si>
  <si>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</si>
  <si>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</si>
  <si>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</si>
  <si>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</si>
  <si>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</si>
  <si>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</si>
  <si>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</si>
  <si>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</si>
  <si>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</si>
  <si>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</si>
  <si>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</si>
  <si>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</si>
  <si>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</si>
  <si>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</si>
  <si>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</si>
  <si>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</si>
  <si>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</si>
  <si>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</si>
  <si>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</si>
  <si>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</si>
  <si>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</si>
  <si>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</si>
  <si>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</si>
  <si>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</si>
  <si>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</si>
  <si>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</si>
  <si>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</si>
  <si>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</si>
  <si>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</si>
  <si>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</si>
  <si>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</si>
  <si>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</si>
  <si>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</si>
  <si>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</si>
  <si>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</si>
  <si>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</si>
  <si>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</si>
  <si>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</si>
  <si>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</si>
  <si>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</si>
  <si>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</si>
  <si>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</si>
  <si>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</si>
  <si>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</si>
  <si>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</si>
  <si>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</si>
  <si>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</si>
  <si>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</si>
  <si>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</si>
  <si>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</si>
  <si>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</si>
  <si>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</si>
  <si>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</si>
  <si>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</si>
  <si>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</si>
  <si>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</si>
  <si>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</si>
  <si>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</si>
  <si>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</si>
  <si>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</si>
  <si>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</si>
  <si>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</si>
  <si>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</si>
  <si>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</si>
  <si>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</si>
  <si>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</si>
  <si>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</si>
  <si>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</si>
  <si>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</si>
  <si>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</si>
  <si>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</si>
  <si>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</si>
  <si>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</si>
  <si>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</si>
  <si>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</si>
  <si>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</si>
  <si>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</si>
  <si>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</si>
  <si>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</si>
  <si>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</si>
  <si>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</si>
  <si>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</si>
  <si>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</si>
  <si>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</si>
  <si>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</si>
  <si>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</si>
  <si>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</si>
  <si>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</si>
  <si>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</si>
  <si>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</si>
  <si>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</si>
  <si>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</si>
  <si>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</si>
  <si>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</si>
  <si>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</si>
  <si>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</si>
  <si>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</si>
  <si>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</si>
  <si>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</si>
  <si>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</si>
  <si>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</si>
  <si>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</si>
  <si>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</si>
  <si>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</si>
  <si>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</si>
  <si>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</si>
  <si>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</si>
  <si>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</si>
  <si>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</si>
  <si>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</si>
  <si>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</si>
  <si>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</si>
  <si>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</si>
  <si>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</si>
  <si>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</si>
  <si>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</si>
  <si>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</si>
  <si>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</si>
  <si>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</si>
  <si>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</si>
  <si>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</si>
  <si>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</si>
  <si>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</si>
  <si>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</si>
  <si>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</si>
  <si>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</si>
  <si>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</si>
  <si>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</si>
  <si>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</si>
  <si>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</si>
  <si>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</si>
  <si>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</si>
  <si>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</si>
  <si>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</si>
  <si>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</si>
  <si>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</si>
  <si>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</si>
  <si>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</si>
  <si>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</si>
  <si>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</si>
  <si>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</si>
  <si>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</si>
  <si>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</si>
  <si>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</si>
  <si>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</si>
  <si>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</si>
  <si>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</si>
  <si>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</si>
  <si>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</si>
  <si>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</si>
  <si>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</si>
  <si>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</si>
  <si>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</si>
  <si>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</si>
  <si>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</si>
  <si>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</si>
  <si>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</si>
  <si>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</si>
  <si>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</si>
  <si>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</si>
  <si>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</si>
  <si>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</si>
  <si>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</si>
  <si>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</si>
  <si>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</si>
  <si>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</si>
  <si>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</si>
  <si>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</si>
  <si>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</si>
  <si>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</si>
  <si>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</si>
  <si>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</si>
  <si>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</si>
  <si>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</si>
  <si>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</si>
  <si>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</si>
  <si>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</si>
  <si>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</si>
  <si>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</si>
  <si>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</si>
  <si>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</si>
  <si>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</si>
  <si>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</si>
  <si>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</si>
  <si>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</si>
  <si>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</si>
  <si>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</si>
  <si>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</si>
  <si>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</si>
  <si>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</si>
  <si>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</si>
  <si>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</si>
  <si>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</si>
  <si>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</si>
  <si>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</si>
  <si>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</si>
  <si>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</si>
  <si>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</si>
  <si>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</si>
  <si>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</si>
  <si>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</si>
  <si>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</si>
  <si>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</si>
  <si>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</si>
  <si>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</si>
  <si>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</si>
  <si>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</si>
  <si>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</si>
  <si>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</si>
  <si>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</si>
  <si>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</si>
  <si>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</si>
  <si>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</si>
  <si>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</si>
  <si>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</si>
  <si>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</si>
  <si>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</si>
  <si>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</si>
  <si>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</si>
  <si>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</si>
  <si>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</si>
  <si>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</si>
  <si>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</si>
  <si>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</si>
  <si>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</si>
  <si>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</si>
  <si>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</si>
  <si>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</si>
  <si>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</si>
  <si>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</si>
  <si>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</si>
  <si>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</si>
  <si>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</si>
  <si>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</si>
  <si>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</si>
  <si>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</si>
  <si>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</si>
  <si>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</si>
  <si>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</si>
  <si>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</si>
  <si>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</si>
  <si>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</si>
  <si>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</si>
  <si>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</si>
  <si>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</si>
  <si>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</si>
  <si>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</si>
  <si>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</si>
  <si>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</si>
  <si>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</si>
  <si>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</si>
  <si>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</si>
  <si>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</si>
  <si>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</si>
  <si>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</si>
  <si>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</si>
  <si>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</si>
  <si>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</si>
  <si>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</si>
  <si>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</si>
  <si>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</si>
  <si>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</si>
  <si>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</si>
  <si>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</si>
  <si>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</si>
  <si>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</si>
  <si>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</si>
  <si>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</si>
  <si>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</si>
  <si>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</si>
  <si>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</si>
  <si>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</si>
  <si>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</si>
  <si>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</si>
  <si>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</si>
  <si>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</si>
  <si>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</si>
  <si>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</si>
  <si>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</si>
  <si>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</si>
  <si>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</si>
  <si>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</si>
  <si>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</si>
  <si>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</si>
  <si>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</si>
  <si>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</si>
  <si>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</si>
  <si>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</si>
  <si>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</si>
  <si>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</si>
  <si>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</si>
  <si>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</si>
  <si>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</si>
  <si>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</si>
  <si>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</si>
  <si>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</si>
  <si>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</si>
  <si>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</si>
  <si>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</si>
  <si>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</si>
  <si>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</si>
  <si>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</si>
  <si>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</si>
  <si>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</si>
  <si>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</si>
  <si>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</si>
  <si>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</si>
  <si>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</si>
  <si>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</si>
  <si>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</si>
  <si>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</si>
  <si>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</si>
  <si>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</si>
  <si>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</si>
  <si>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</si>
  <si>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</si>
  <si>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</si>
  <si>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</si>
  <si>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</si>
  <si>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</si>
  <si>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</si>
  <si>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</si>
  <si>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</si>
  <si>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</si>
  <si>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</si>
  <si>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</si>
  <si>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</si>
  <si>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</si>
  <si>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</si>
  <si>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</si>
  <si>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</si>
  <si>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</si>
  <si>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</si>
  <si>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</si>
  <si>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</si>
  <si>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</si>
  <si>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</si>
  <si>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</si>
  <si>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</si>
  <si>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</si>
  <si>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</si>
  <si>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</si>
  <si>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</si>
  <si>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</si>
  <si>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</si>
  <si>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</si>
  <si>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</si>
  <si>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</si>
  <si>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</si>
  <si>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</si>
  <si>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</si>
  <si>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</si>
  <si>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</si>
  <si>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</si>
  <si>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</si>
  <si>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</si>
  <si>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</si>
  <si>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</si>
  <si>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</si>
  <si>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</si>
  <si>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</si>
  <si>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</si>
  <si>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</si>
  <si>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</si>
  <si>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</si>
  <si>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</si>
  <si>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</si>
  <si>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</si>
  <si>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</si>
  <si>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</si>
  <si>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</si>
  <si>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</si>
  <si>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</si>
  <si>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</si>
  <si>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</si>
  <si>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</si>
  <si>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</si>
  <si>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</si>
  <si>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</si>
  <si>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</si>
  <si>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</si>
  <si>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</si>
  <si>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</si>
  <si>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</si>
  <si>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</si>
  <si>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</si>
  <si>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</si>
  <si>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</si>
  <si>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</si>
  <si>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</si>
  <si>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</si>
  <si>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</si>
  <si>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</si>
  <si>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</si>
  <si>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</si>
  <si>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</si>
  <si>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</si>
  <si>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</si>
  <si>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</si>
  <si>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</si>
  <si>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</si>
  <si>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</si>
  <si>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</si>
  <si>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</si>
  <si>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</si>
  <si>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</si>
  <si>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</si>
  <si>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</si>
  <si>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</si>
  <si>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</si>
  <si>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</si>
  <si>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</si>
  <si>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</si>
  <si>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</si>
  <si>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</si>
  <si>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</si>
  <si>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</si>
  <si>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</si>
  <si>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</si>
  <si>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</si>
  <si>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</si>
  <si>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</si>
  <si>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</si>
  <si>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</si>
  <si>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</si>
  <si>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</si>
  <si>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</si>
  <si>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</si>
  <si>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</si>
  <si>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</si>
  <si>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</si>
  <si>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</si>
  <si>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</si>
  <si>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</si>
  <si>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</si>
  <si>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</si>
  <si>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</si>
  <si>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</si>
  <si>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</si>
  <si>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</si>
  <si>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</si>
  <si>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</si>
  <si>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</si>
  <si>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</si>
  <si>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</si>
  <si>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</si>
  <si>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</si>
  <si>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</si>
  <si>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</si>
  <si>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</si>
  <si>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</si>
  <si>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</si>
  <si>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</si>
  <si>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</si>
  <si>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</si>
  <si>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</si>
  <si>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</si>
  <si>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</si>
  <si>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</si>
  <si>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</si>
  <si>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</si>
  <si>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</si>
  <si>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</si>
  <si>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</si>
  <si>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</si>
  <si>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</si>
  <si>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</si>
  <si>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</si>
  <si>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</si>
  <si>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</si>
  <si>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</si>
  <si>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</si>
  <si>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</si>
  <si>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</si>
  <si>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</si>
  <si>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</si>
  <si>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</si>
  <si>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</si>
  <si>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</si>
  <si>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</si>
  <si>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</si>
  <si>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</si>
  <si>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</si>
  <si>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</si>
  <si>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</si>
  <si>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</si>
  <si>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</si>
  <si>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</si>
  <si>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</si>
  <si>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</si>
  <si>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</si>
  <si>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</si>
  <si>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</si>
  <si>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</si>
  <si>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</si>
  <si>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</si>
  <si>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</si>
  <si>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</si>
  <si>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</si>
  <si>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</si>
  <si>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</si>
  <si>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</si>
  <si>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</si>
  <si>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</si>
  <si>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</si>
  <si>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</si>
  <si>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</si>
  <si>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</si>
  <si>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</si>
  <si>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</si>
  <si>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</si>
  <si>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</si>
  <si>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</si>
  <si>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</si>
  <si>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</si>
  <si>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</si>
  <si>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</si>
  <si>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</si>
  <si>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</si>
  <si>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</si>
  <si>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</si>
  <si>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</si>
  <si>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</si>
  <si>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</si>
  <si>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</si>
  <si>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</si>
  <si>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</si>
  <si>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</si>
  <si>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</si>
  <si>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</si>
  <si>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</si>
  <si>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</si>
  <si>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</si>
  <si>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</si>
  <si>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</si>
  <si>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</si>
  <si>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</si>
  <si>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</si>
  <si>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</si>
  <si>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</si>
  <si>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</si>
  <si>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</si>
  <si>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</si>
  <si>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</si>
  <si>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</si>
  <si>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</si>
  <si>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</si>
  <si>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</si>
  <si>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</si>
  <si>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</si>
  <si>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</si>
  <si>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</si>
  <si>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</si>
  <si>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</si>
  <si>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</si>
  <si>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</si>
  <si>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</si>
  <si>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</si>
  <si>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</si>
  <si>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</si>
  <si>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</si>
  <si>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</si>
  <si>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</si>
  <si>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</si>
  <si>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</si>
  <si>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</si>
  <si>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</si>
  <si>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</si>
  <si>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</si>
  <si>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</si>
  <si>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</si>
  <si>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</si>
  <si>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</si>
  <si>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</si>
  <si>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</si>
  <si>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</si>
  <si>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</si>
  <si>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</si>
  <si>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</si>
  <si>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</si>
  <si>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</si>
  <si>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</si>
  <si>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</si>
  <si>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</si>
  <si>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</si>
  <si>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</si>
  <si>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</si>
  <si>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</si>
  <si>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</si>
  <si>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</si>
  <si>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</si>
  <si>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</si>
  <si>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</si>
  <si>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</si>
  <si>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</si>
  <si>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</si>
  <si>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</si>
  <si>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</si>
  <si>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</si>
  <si>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</si>
  <si>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</si>
  <si>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</si>
  <si>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</si>
  <si>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</si>
  <si>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</si>
  <si>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</si>
  <si>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</si>
  <si>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</si>
  <si>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</si>
  <si>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</si>
  <si>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</si>
  <si>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</si>
  <si>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</si>
  <si>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</si>
  <si>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</si>
  <si>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</si>
  <si>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</si>
  <si>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</si>
  <si>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</si>
  <si>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</si>
  <si>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</si>
  <si>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</si>
  <si>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</si>
  <si>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</si>
  <si>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</si>
  <si>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</si>
  <si>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</si>
  <si>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</si>
  <si>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</si>
  <si>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</si>
  <si>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</si>
  <si>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</si>
  <si>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</si>
  <si>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</si>
  <si>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</si>
  <si>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</si>
  <si>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</si>
  <si>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</si>
  <si>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</si>
  <si>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</si>
  <si>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</si>
  <si>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</si>
  <si>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</si>
  <si>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</si>
  <si>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</si>
  <si>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</si>
  <si>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</si>
  <si>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</si>
  <si>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</si>
  <si>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</si>
  <si>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</si>
  <si>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</si>
  <si>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</si>
  <si>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</si>
  <si>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</si>
  <si>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</si>
  <si>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</si>
  <si>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</si>
  <si>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</si>
  <si>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</si>
  <si>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</si>
  <si>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</si>
  <si>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</si>
  <si>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</si>
  <si>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</si>
  <si>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</si>
  <si>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</si>
  <si>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</si>
  <si>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</si>
  <si>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</si>
  <si>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</si>
  <si>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</si>
  <si>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</si>
  <si>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</si>
  <si>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</si>
  <si>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</si>
  <si>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</si>
  <si>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</si>
  <si>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</si>
  <si>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</si>
  <si>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</si>
  <si>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</si>
  <si>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</si>
  <si>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</si>
  <si>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</si>
  <si>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</si>
  <si>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</si>
  <si>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</si>
  <si>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</si>
  <si>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</si>
  <si>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</si>
  <si>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</si>
  <si>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</si>
  <si>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</si>
  <si>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</si>
  <si>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</si>
  <si>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</si>
  <si>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</si>
  <si>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</si>
  <si>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</si>
  <si>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</si>
  <si>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</si>
  <si>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</si>
  <si>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</si>
  <si>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</si>
  <si>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</si>
  <si>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</si>
  <si>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</si>
  <si>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</si>
  <si>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</si>
  <si>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</si>
  <si>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</si>
  <si>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</si>
  <si>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</si>
  <si>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</si>
  <si>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</si>
  <si>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</si>
  <si>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</si>
  <si>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</si>
  <si>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</si>
  <si>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</si>
  <si>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</si>
  <si>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</si>
  <si>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</si>
  <si>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</si>
  <si>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</si>
  <si>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</si>
  <si>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</si>
  <si>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</si>
  <si>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</si>
  <si>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</si>
  <si>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</si>
  <si>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</si>
  <si>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</si>
  <si>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</si>
  <si>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</si>
  <si>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</si>
  <si>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</si>
  <si>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</si>
  <si>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</si>
  <si>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</si>
  <si>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</si>
  <si>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</si>
  <si>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</si>
  <si>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</si>
  <si>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</si>
  <si>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</si>
  <si>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</si>
  <si>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</si>
  <si>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</si>
  <si>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</si>
  <si>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</si>
  <si>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</si>
  <si>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</si>
  <si>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</si>
  <si>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</si>
  <si>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</si>
  <si>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</si>
  <si>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</si>
  <si>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</si>
  <si>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</si>
  <si>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</si>
  <si>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</si>
  <si>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</si>
  <si>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</si>
  <si>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</si>
  <si>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</si>
  <si>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</si>
  <si>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</si>
  <si>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</si>
  <si>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</si>
  <si>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</si>
  <si>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</si>
  <si>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</si>
  <si>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</si>
  <si>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</si>
  <si>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</si>
  <si>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</si>
  <si>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</si>
  <si>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</si>
  <si>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</si>
  <si>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</si>
  <si>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</si>
  <si>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</si>
  <si>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</si>
  <si>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</si>
  <si>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</si>
  <si>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</si>
  <si>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</si>
  <si>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</si>
  <si>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</si>
  <si>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</si>
  <si>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</si>
  <si>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</si>
  <si>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</si>
  <si>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</si>
  <si>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</si>
  <si>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</si>
  <si>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</si>
  <si>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</si>
  <si>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</si>
  <si>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</si>
  <si>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</si>
  <si>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</si>
  <si>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</si>
  <si>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</si>
  <si>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</si>
  <si>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</si>
  <si>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</si>
  <si>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</si>
  <si>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</si>
  <si>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</si>
  <si>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</si>
  <si>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</si>
  <si>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</si>
  <si>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</si>
  <si>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</si>
  <si>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</si>
  <si>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</si>
  <si>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</si>
  <si>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</si>
  <si>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</si>
  <si>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</si>
  <si>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</si>
  <si>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</si>
  <si>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</si>
  <si>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</si>
  <si>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</si>
  <si>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</si>
  <si>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</si>
  <si>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</si>
  <si>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</si>
  <si>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</si>
  <si>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</si>
  <si>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</si>
  <si>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</si>
  <si>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</si>
  <si>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</si>
  <si>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</si>
  <si>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</si>
  <si>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</si>
  <si>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</si>
  <si>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</si>
  <si>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</si>
  <si>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</si>
  <si>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</si>
  <si>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</si>
  <si>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</si>
  <si>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</si>
  <si>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</si>
  <si>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</si>
  <si>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</si>
  <si>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</si>
  <si>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</si>
  <si>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</si>
  <si>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</si>
  <si>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</si>
  <si>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</si>
  <si>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</si>
  <si>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</si>
  <si>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</si>
  <si>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</si>
  <si>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</si>
  <si>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</si>
  <si>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</si>
  <si>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</si>
  <si>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</si>
  <si>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</si>
  <si>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</si>
  <si>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</si>
  <si>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</si>
  <si>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</si>
  <si>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</si>
  <si>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</si>
  <si>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</si>
  <si>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</si>
  <si>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</si>
  <si>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</si>
  <si>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</si>
  <si>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</si>
  <si>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</si>
  <si>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</si>
  <si>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</si>
  <si>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</si>
  <si>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</si>
  <si>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</si>
  <si>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</si>
  <si>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</si>
  <si>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</si>
  <si>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</si>
  <si>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</si>
  <si>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</si>
  <si>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</si>
  <si>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</si>
  <si>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</si>
  <si>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</si>
  <si>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</si>
  <si>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</si>
  <si>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</si>
  <si>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</si>
  <si>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</si>
  <si>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</si>
  <si>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</si>
  <si>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</si>
  <si>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</si>
  <si>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</si>
  <si>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</si>
  <si>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</si>
  <si>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</si>
  <si>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</si>
  <si>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</si>
  <si>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</si>
  <si>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</si>
  <si>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</si>
  <si>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</si>
  <si>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</si>
  <si>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</si>
  <si>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</si>
  <si>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</si>
  <si>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</si>
  <si>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</si>
  <si>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</si>
  <si>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</si>
  <si>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</si>
  <si>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</si>
  <si>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</si>
  <si>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</si>
  <si>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</si>
  <si>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</si>
  <si>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</si>
  <si>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</si>
  <si>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</si>
  <si>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</si>
  <si>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</si>
  <si>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</si>
  <si>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</si>
  <si>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</si>
  <si>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</si>
  <si>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</si>
  <si>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</si>
  <si>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</si>
  <si>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</si>
  <si>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</si>
  <si>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</si>
  <si>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</si>
  <si>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</si>
  <si>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</si>
  <si>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</si>
  <si>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</si>
  <si>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</si>
  <si>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</si>
  <si>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</si>
  <si>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</si>
  <si>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</si>
  <si>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</si>
  <si>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</si>
  <si>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</si>
  <si>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</si>
  <si>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</si>
  <si>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</si>
  <si>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</si>
  <si>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</si>
  <si>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</si>
  <si>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</si>
  <si>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</si>
  <si>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</si>
  <si>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</si>
  <si>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</si>
  <si>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</si>
  <si>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</si>
  <si>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</si>
  <si>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</si>
  <si>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</si>
  <si>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</si>
  <si>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</si>
  <si>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</si>
  <si>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</si>
  <si>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</si>
  <si>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</si>
  <si>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</si>
  <si>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</si>
  <si>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</si>
  <si>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</si>
  <si>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</si>
  <si>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</si>
  <si>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</si>
  <si>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</si>
  <si>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</si>
  <si>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</si>
  <si>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</si>
  <si>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</si>
  <si>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</si>
  <si>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</si>
  <si>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</si>
  <si>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</si>
  <si>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</si>
  <si>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</si>
  <si>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</si>
  <si>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</si>
  <si>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</si>
  <si>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</si>
  <si>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</si>
  <si>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</si>
  <si>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</si>
  <si>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</si>
  <si>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</si>
  <si>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</si>
  <si>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</si>
  <si>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</si>
  <si>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</si>
  <si>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</si>
  <si>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</si>
  <si>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</si>
  <si>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</si>
  <si>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</si>
  <si>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</si>
  <si>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</si>
  <si>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</si>
  <si>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</si>
  <si>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</si>
  <si>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</si>
  <si>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</si>
  <si>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</si>
  <si>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</si>
  <si>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</si>
  <si>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</si>
  <si>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</si>
  <si>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</si>
  <si>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</si>
  <si>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</si>
  <si>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</si>
  <si>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</si>
  <si>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</si>
  <si>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</si>
  <si>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</si>
  <si>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</si>
  <si>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</si>
  <si>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</si>
  <si>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</si>
  <si>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</si>
  <si>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</si>
  <si>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</si>
  <si>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</si>
  <si>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</si>
  <si>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</si>
  <si>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</si>
  <si>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</si>
  <si>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</si>
  <si>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</si>
  <si>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</si>
  <si>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</si>
  <si>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</si>
  <si>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</si>
  <si>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</si>
  <si>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</si>
  <si>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</si>
  <si>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</si>
  <si>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</si>
  <si>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</si>
  <si>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</si>
  <si>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</si>
  <si>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</si>
  <si>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</si>
  <si>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</si>
  <si>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</si>
  <si>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</si>
  <si>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</si>
  <si>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</si>
  <si>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</si>
  <si>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</si>
  <si>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</si>
  <si>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</si>
  <si>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</si>
  <si>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</si>
  <si>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</si>
  <si>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</si>
  <si>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</si>
  <si>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</si>
  <si>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</si>
  <si>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</si>
  <si>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</si>
  <si>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</si>
  <si>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</si>
  <si>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</si>
  <si>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</si>
  <si>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</si>
  <si>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</si>
  <si>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</si>
  <si>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</si>
  <si>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</si>
  <si>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</si>
  <si>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</si>
  <si>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</si>
  <si>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</si>
  <si>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</si>
  <si>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</si>
  <si>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</si>
  <si>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</si>
  <si>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</si>
  <si>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</si>
  <si>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</si>
  <si>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</si>
  <si>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</si>
  <si>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</si>
  <si>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</si>
  <si>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</si>
  <si>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</si>
  <si>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</si>
  <si>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</si>
  <si>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</si>
  <si>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</si>
  <si>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</si>
  <si>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</si>
  <si>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</si>
  <si>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</si>
  <si>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</si>
  <si>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</si>
  <si>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</si>
  <si>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</si>
  <si>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</si>
  <si>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</si>
  <si>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</si>
  <si>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</si>
  <si>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</si>
  <si>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</si>
  <si>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</si>
  <si>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</si>
  <si>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</si>
  <si>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</si>
  <si>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</si>
  <si>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</si>
  <si>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</si>
  <si>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</si>
  <si>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</si>
  <si>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</si>
  <si>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</si>
  <si>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</si>
  <si>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</si>
  <si>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</si>
  <si>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</si>
  <si>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</si>
  <si>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</si>
  <si>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</si>
  <si>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</si>
  <si>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</si>
  <si>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</si>
  <si>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</si>
  <si>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</si>
  <si>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</si>
  <si>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</si>
  <si>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</si>
  <si>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</si>
  <si>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</si>
  <si>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</si>
  <si>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</si>
  <si>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</si>
  <si>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</si>
  <si>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</si>
  <si>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</si>
  <si>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</si>
  <si>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</si>
  <si>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</si>
  <si>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</si>
  <si>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</si>
  <si>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</si>
  <si>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</si>
  <si>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</si>
  <si>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</si>
  <si>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</si>
  <si>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</si>
  <si>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</si>
  <si>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</si>
  <si>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</si>
  <si>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</si>
  <si>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</si>
  <si>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</si>
  <si>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</si>
  <si>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</si>
  <si>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</si>
  <si>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</si>
  <si>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</si>
  <si>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</si>
  <si>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</si>
  <si>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</si>
  <si>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</si>
  <si>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</si>
  <si>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</si>
  <si>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</si>
  <si>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</si>
  <si>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</si>
  <si>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</si>
  <si>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</si>
  <si>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</si>
  <si>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</si>
  <si>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</si>
  <si>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</si>
  <si>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</si>
  <si>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</si>
  <si>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</si>
  <si>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</si>
  <si>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</si>
  <si>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</si>
  <si>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</si>
  <si>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</si>
  <si>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</si>
  <si>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</si>
  <si>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</si>
  <si>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</si>
  <si>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</si>
  <si>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</si>
  <si>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</si>
  <si>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</si>
  <si>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</si>
  <si>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</si>
  <si>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</si>
  <si>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</si>
  <si>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</si>
  <si>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</si>
  <si>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</si>
  <si>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</si>
  <si>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</si>
  <si>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</si>
  <si>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</si>
  <si>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</si>
  <si>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</si>
  <si>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</si>
  <si>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</si>
  <si>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</si>
  <si>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</si>
  <si>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</si>
  <si>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</si>
  <si>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</si>
  <si>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</si>
  <si>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</si>
  <si>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</si>
  <si>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</si>
  <si>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</si>
  <si>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</si>
  <si>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</si>
  <si>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</si>
  <si>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</si>
  <si>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</si>
  <si>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</si>
  <si>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</si>
  <si>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</si>
  <si>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</si>
  <si>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</si>
  <si>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</si>
  <si>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</si>
  <si>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</si>
  <si>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</si>
  <si>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</si>
  <si>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</si>
  <si>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</si>
  <si>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</si>
  <si>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</si>
  <si>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</si>
  <si>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</si>
  <si>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</si>
  <si>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</si>
  <si>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</si>
  <si>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</si>
  <si>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</si>
  <si>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</si>
  <si>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</si>
  <si>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</si>
  <si>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</si>
  <si>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</si>
  <si>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</si>
  <si>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</si>
  <si>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</si>
  <si>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</si>
  <si>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</si>
  <si>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</si>
  <si>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</si>
  <si>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</si>
  <si>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</si>
  <si>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</si>
  <si>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</si>
  <si>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</si>
  <si>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</si>
  <si>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</si>
  <si>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</si>
  <si>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</si>
  <si>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</si>
  <si>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</si>
  <si>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</si>
  <si>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</si>
  <si>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</si>
  <si>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</si>
  <si>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</si>
  <si>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</si>
  <si>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</si>
  <si>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</si>
  <si>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</si>
  <si>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</si>
  <si>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</si>
  <si>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</si>
  <si>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</si>
  <si>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</si>
  <si>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</si>
  <si>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</si>
  <si>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</si>
  <si>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</si>
  <si>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</si>
  <si>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</si>
  <si>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</si>
  <si>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</si>
  <si>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</si>
  <si>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</si>
  <si>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</si>
  <si>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</si>
  <si>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</si>
  <si>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</si>
  <si>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</si>
  <si>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</si>
  <si>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</si>
  <si>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</si>
  <si>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</si>
  <si>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</si>
  <si>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</si>
  <si>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</si>
  <si>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</si>
  <si>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</si>
  <si>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</si>
  <si>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</si>
  <si>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</si>
  <si>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</si>
  <si>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</si>
  <si>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</si>
  <si>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</si>
  <si>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</si>
  <si>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</si>
  <si>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</si>
  <si>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</si>
  <si>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</si>
  <si>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</si>
  <si>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</si>
  <si>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</si>
  <si>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</si>
  <si>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</si>
  <si>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</si>
  <si>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</si>
  <si>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</si>
  <si>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</si>
  <si>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</si>
  <si>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</si>
  <si>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</si>
  <si>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</si>
  <si>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</si>
  <si>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</si>
  <si>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</si>
  <si>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</si>
  <si>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</si>
  <si>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</si>
  <si>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</si>
  <si>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</si>
  <si>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</si>
  <si>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</si>
  <si>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</si>
  <si>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</si>
  <si>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</si>
  <si>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</si>
  <si>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</si>
  <si>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</si>
  <si>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</si>
  <si>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</si>
  <si>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</si>
  <si>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</si>
  <si>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</si>
  <si>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</si>
  <si>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</si>
  <si>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</si>
  <si>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</si>
  <si>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</si>
  <si>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</si>
  <si>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</si>
  <si>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</si>
  <si>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</si>
  <si>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</si>
  <si>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</si>
  <si>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</si>
  <si>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</si>
  <si>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</si>
  <si>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</si>
  <si>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</si>
  <si>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</si>
  <si>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</si>
  <si>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</si>
  <si>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</si>
  <si>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</si>
  <si>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</si>
  <si>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</si>
  <si>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</si>
  <si>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</si>
  <si>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</si>
  <si>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</si>
  <si>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</si>
  <si>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</si>
  <si>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</si>
  <si>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</si>
  <si>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</si>
  <si>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</si>
  <si>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</si>
  <si>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</si>
  <si>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</si>
  <si>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</si>
  <si>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</si>
  <si>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</si>
  <si>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</si>
  <si>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</si>
  <si>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</si>
  <si>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</si>
  <si>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</si>
  <si>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</si>
  <si>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</si>
  <si>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</si>
  <si>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</si>
  <si>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</si>
  <si>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</si>
  <si>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</si>
  <si>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</si>
  <si>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</si>
  <si>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</si>
  <si>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</si>
  <si>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</si>
  <si>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</si>
  <si>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</si>
  <si>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</si>
  <si>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</si>
  <si>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</si>
  <si>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</si>
  <si>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</si>
  <si>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</si>
  <si>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</si>
  <si>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</si>
  <si>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</si>
  <si>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</si>
  <si>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</si>
  <si>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</si>
  <si>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</si>
  <si>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</si>
  <si>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</si>
  <si>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</si>
  <si>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</si>
  <si>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</si>
  <si>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</si>
  <si>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</si>
  <si>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</si>
  <si>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</si>
  <si>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</si>
  <si>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</si>
  <si>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</si>
  <si>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</si>
  <si>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</si>
  <si>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</si>
  <si>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</si>
  <si>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</si>
  <si>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</si>
  <si>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</si>
  <si>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</si>
  <si>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</si>
  <si>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</si>
  <si>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</si>
  <si>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</si>
  <si>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</si>
  <si>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</si>
  <si>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</si>
  <si>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</si>
  <si>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</si>
  <si>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</si>
  <si>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</si>
  <si>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</si>
  <si>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</si>
  <si>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</si>
  <si>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</si>
  <si>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</si>
  <si>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</si>
  <si>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</si>
  <si>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</si>
  <si>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</si>
  <si>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</si>
  <si>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</si>
  <si>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</si>
  <si>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</si>
  <si>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</si>
  <si>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</si>
  <si>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</si>
  <si>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</si>
  <si>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</si>
  <si>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</si>
  <si>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</si>
  <si>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</si>
  <si>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</si>
  <si>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</si>
  <si>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</si>
  <si>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</si>
  <si>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</si>
  <si>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</si>
  <si>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</si>
  <si>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</si>
  <si>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</si>
  <si>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</si>
  <si>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</si>
  <si>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</si>
  <si>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</si>
  <si>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</si>
  <si>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</si>
  <si>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</si>
  <si>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</si>
  <si>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</si>
  <si>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</si>
  <si>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</si>
  <si>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</si>
  <si>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</si>
  <si>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</si>
  <si>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</si>
  <si>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</si>
  <si>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</si>
  <si>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</si>
  <si>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</si>
  <si>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</si>
  <si>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</si>
  <si>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</si>
  <si>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</si>
  <si>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</si>
  <si>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</si>
  <si>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</si>
  <si>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</si>
  <si>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</si>
  <si>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</si>
  <si>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</si>
  <si>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</si>
  <si>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</si>
  <si>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</si>
  <si>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</si>
  <si>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</si>
  <si>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</si>
  <si>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</si>
  <si>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</si>
  <si>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</si>
  <si>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</si>
  <si>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</si>
  <si>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</si>
  <si>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</si>
  <si>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</si>
  <si>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</si>
  <si>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</si>
  <si>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</si>
  <si>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</si>
  <si>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</si>
  <si>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</si>
  <si>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</si>
  <si>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</si>
  <si>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</si>
  <si>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</si>
  <si>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</si>
  <si>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</si>
  <si>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</si>
  <si>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</si>
  <si>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</si>
  <si>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</si>
  <si>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</si>
  <si>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</si>
  <si>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</si>
  <si>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</si>
  <si>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</si>
  <si>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</si>
  <si>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</si>
  <si>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</si>
  <si>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</si>
  <si>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</si>
  <si>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</si>
  <si>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</si>
  <si>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</si>
  <si>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</si>
  <si>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</si>
  <si>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</si>
  <si>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</si>
  <si>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</si>
  <si>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</si>
  <si>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</si>
  <si>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</si>
  <si>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</si>
  <si>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</si>
  <si>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</si>
  <si>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</si>
  <si>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</si>
  <si>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</si>
  <si>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</si>
  <si>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</si>
  <si>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</si>
  <si>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</si>
  <si>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</si>
  <si>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</si>
  <si>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</si>
  <si>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</si>
  <si>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</si>
  <si>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</si>
  <si>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</si>
  <si>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</si>
  <si>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</si>
  <si>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</si>
  <si>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</si>
  <si>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</si>
  <si>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</si>
  <si>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</si>
  <si>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</si>
  <si>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</si>
  <si>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</si>
  <si>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</si>
  <si>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</si>
  <si>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</si>
  <si>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</si>
  <si>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</si>
  <si>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</si>
  <si>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</si>
  <si>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</si>
  <si>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</si>
  <si>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</si>
  <si>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</si>
  <si>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</si>
  <si>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</si>
  <si>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</si>
  <si>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</si>
  <si>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</si>
  <si>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</si>
  <si>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</si>
  <si>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</si>
  <si>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</si>
  <si>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</si>
  <si>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</si>
  <si>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</si>
  <si>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</si>
  <si>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</si>
  <si>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</si>
  <si>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</si>
  <si>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</si>
  <si>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</si>
  <si>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</si>
  <si>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</si>
  <si>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</si>
  <si>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</si>
  <si>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</si>
  <si>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</si>
  <si>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</si>
  <si>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</si>
  <si>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</si>
  <si>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</si>
  <si>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</si>
  <si>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</si>
  <si>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</si>
  <si>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</si>
  <si>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</si>
  <si>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</si>
  <si>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</si>
  <si>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</si>
  <si>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</si>
  <si>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</si>
  <si>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</si>
  <si>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</si>
  <si>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</si>
  <si>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</si>
  <si>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</si>
  <si>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</si>
  <si>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</si>
  <si>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</si>
  <si>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</si>
  <si>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</si>
  <si>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</si>
  <si>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</si>
  <si>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</si>
  <si>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</si>
  <si>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</si>
  <si>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</si>
  <si>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</si>
  <si>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</si>
  <si>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</si>
  <si>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</si>
  <si>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</si>
  <si>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</si>
  <si>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</si>
  <si>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</si>
  <si>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</si>
  <si>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</si>
  <si>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</si>
  <si>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</si>
  <si>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</si>
  <si>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</si>
  <si>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</si>
  <si>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</si>
  <si>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</si>
  <si>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</si>
  <si>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</si>
  <si>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</si>
  <si>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</si>
  <si>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</si>
  <si>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</si>
  <si>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</si>
  <si>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</si>
  <si>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</si>
  <si>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</si>
  <si>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</si>
  <si>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</si>
  <si>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</si>
  <si>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</si>
  <si>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</si>
  <si>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</si>
  <si>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</si>
  <si>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</si>
  <si>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</si>
  <si>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</si>
  <si>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</si>
  <si>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</si>
  <si>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</si>
  <si>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</si>
  <si>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</si>
  <si>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</si>
  <si>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</si>
  <si>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</si>
  <si>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</si>
  <si>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</si>
  <si>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</si>
  <si>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</si>
  <si>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</si>
  <si>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</si>
  <si>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</si>
  <si>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</si>
  <si>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</si>
  <si>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</si>
  <si>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</si>
  <si>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</si>
  <si>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</si>
  <si>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</si>
  <si>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</si>
  <si>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</si>
  <si>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</si>
  <si>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</si>
  <si>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</si>
  <si>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</si>
  <si>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</si>
  <si>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</si>
  <si>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</si>
  <si>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</si>
  <si>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</si>
  <si>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</si>
  <si>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</si>
  <si>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</si>
  <si>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</si>
  <si>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</si>
  <si>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</si>
  <si>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</si>
  <si>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</si>
  <si>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</si>
  <si>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</si>
  <si>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</si>
  <si>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</si>
  <si>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</si>
  <si>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</si>
  <si>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</si>
  <si>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</si>
  <si>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</si>
  <si>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</si>
  <si>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</si>
  <si>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</si>
  <si>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</si>
  <si>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</si>
  <si>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</si>
  <si>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</si>
  <si>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</si>
  <si>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</si>
  <si>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</si>
  <si>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</si>
  <si>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</si>
  <si>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</si>
  <si>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</si>
  <si>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</si>
  <si>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</si>
  <si>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</si>
  <si>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</si>
  <si>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</si>
  <si>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</si>
  <si>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</si>
  <si>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</si>
  <si>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</si>
  <si>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</si>
  <si>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</si>
  <si>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</si>
  <si>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</si>
  <si>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</si>
  <si>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</si>
  <si>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</si>
  <si>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</si>
  <si>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</si>
  <si>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</si>
  <si>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</si>
  <si>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</si>
  <si>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</si>
  <si>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</si>
  <si>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</si>
  <si>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</si>
  <si>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</si>
  <si>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</si>
  <si>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</si>
  <si>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</si>
  <si>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</si>
  <si>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</si>
  <si>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</si>
  <si>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</si>
  <si>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</si>
  <si>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</si>
  <si>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</si>
  <si>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</si>
  <si>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</si>
  <si>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</si>
  <si>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</si>
  <si>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</si>
  <si>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</si>
  <si>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</si>
  <si>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</si>
  <si>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</si>
  <si>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</si>
  <si>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</si>
  <si>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</si>
  <si>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</si>
  <si>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</si>
  <si>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</si>
  <si>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</si>
  <si>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</si>
  <si>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</si>
  <si>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</si>
  <si>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</si>
  <si>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</si>
  <si>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</si>
  <si>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</si>
  <si>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</si>
  <si>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</si>
  <si>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</si>
  <si>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</si>
  <si>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</si>
  <si>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</si>
  <si>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</si>
  <si>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</si>
  <si>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</si>
  <si>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</si>
  <si>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</si>
  <si>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</si>
  <si>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</si>
  <si>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</si>
  <si>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</si>
  <si>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</si>
  <si>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</si>
  <si>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</si>
  <si>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</si>
  <si>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</si>
  <si>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</si>
  <si>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</si>
  <si>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</si>
  <si>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</si>
  <si>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</si>
  <si>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</si>
  <si>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</si>
  <si>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</si>
  <si>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</si>
  <si>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</si>
  <si>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</si>
  <si>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</si>
  <si>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</si>
  <si>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</si>
  <si>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</si>
  <si>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</si>
  <si>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</si>
  <si>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</si>
  <si>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</si>
  <si>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</si>
  <si>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</si>
  <si>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</si>
  <si>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</si>
  <si>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</si>
  <si>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</si>
  <si>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</si>
  <si>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</si>
  <si>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</si>
  <si>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</si>
  <si>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</si>
  <si>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</si>
  <si>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</si>
  <si>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</si>
  <si>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</si>
  <si>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</si>
  <si>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</si>
  <si>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</si>
  <si>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</si>
  <si>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</si>
  <si>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</si>
  <si>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</si>
  <si>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</si>
  <si>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</si>
  <si>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</si>
  <si>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</si>
  <si>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</si>
  <si>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</si>
  <si>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</si>
  <si>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</si>
  <si>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</si>
  <si>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</si>
  <si>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</si>
  <si>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</si>
  <si>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</si>
  <si>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</si>
  <si>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</si>
  <si>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</si>
  <si>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</si>
  <si>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</si>
  <si>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</si>
  <si>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</si>
  <si>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</si>
  <si>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</si>
  <si>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</si>
  <si>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</si>
  <si>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</si>
  <si>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</si>
  <si>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</si>
  <si>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</si>
  <si>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</si>
  <si>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</si>
  <si>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</si>
  <si>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</si>
  <si>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</si>
  <si>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</si>
  <si>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</si>
  <si>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</si>
  <si>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</si>
  <si>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</si>
  <si>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</si>
  <si>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</si>
  <si>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</si>
  <si>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</si>
  <si>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</si>
  <si>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</si>
  <si>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</si>
  <si>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</si>
  <si>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</si>
  <si>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</si>
  <si>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</si>
  <si>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</si>
  <si>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</si>
  <si>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</si>
  <si>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</si>
  <si>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</si>
  <si>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</si>
  <si>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</si>
  <si>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</si>
  <si>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</si>
  <si>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</si>
  <si>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</si>
  <si>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</si>
  <si>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</si>
  <si>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</si>
  <si>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</si>
  <si>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</si>
  <si>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</si>
  <si>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</si>
  <si>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</si>
  <si>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</si>
  <si>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</si>
  <si>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</si>
  <si>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</si>
  <si>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</si>
  <si>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</si>
  <si>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</si>
  <si>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</si>
  <si>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</si>
  <si>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</si>
  <si>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</si>
  <si>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</si>
  <si>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</si>
  <si>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</si>
  <si>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</si>
  <si>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</si>
  <si>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</si>
  <si>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</si>
  <si>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</si>
  <si>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</si>
  <si>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</si>
  <si>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</si>
  <si>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</si>
  <si>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</si>
  <si>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</si>
  <si>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</si>
  <si>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</si>
  <si>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</si>
  <si>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</si>
  <si>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</si>
  <si>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</si>
  <si>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</si>
  <si>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</si>
  <si>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</si>
  <si>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</si>
  <si>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</si>
  <si>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</si>
  <si>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</si>
  <si>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</si>
  <si>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</si>
  <si>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</si>
  <si>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</si>
  <si>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</si>
  <si>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</si>
  <si>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</si>
  <si>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</si>
  <si>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</si>
  <si>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</si>
  <si>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</si>
  <si>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</si>
  <si>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</si>
  <si>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</si>
  <si>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</si>
  <si>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</si>
  <si>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</si>
  <si>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</si>
  <si>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</si>
  <si>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</si>
  <si>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</si>
  <si>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</si>
  <si>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</si>
  <si>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</si>
  <si>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</si>
  <si>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</si>
  <si>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</si>
  <si>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</si>
  <si>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</si>
  <si>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</si>
  <si>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</si>
  <si>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</si>
  <si>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</si>
  <si>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</si>
  <si>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</si>
  <si>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</si>
  <si>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</si>
  <si>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</si>
  <si>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</si>
  <si>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</si>
  <si>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</si>
  <si>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</si>
  <si>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</si>
  <si>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</si>
  <si>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</si>
  <si>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</si>
  <si>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</si>
  <si>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</si>
  <si>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</si>
  <si>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</si>
  <si>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</si>
  <si>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</si>
  <si>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</si>
  <si>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</si>
  <si>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</si>
  <si>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</si>
  <si>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</si>
  <si>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</si>
  <si>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</si>
  <si>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</si>
  <si>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</si>
  <si>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</si>
  <si>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</si>
  <si>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</si>
  <si>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</si>
  <si>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</si>
  <si>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</si>
  <si>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</si>
  <si>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</si>
  <si>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</si>
  <si>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</si>
  <si>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</si>
  <si>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</si>
  <si>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</si>
  <si>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</si>
  <si>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</si>
  <si>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</si>
  <si>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</si>
  <si>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</si>
  <si>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</si>
  <si>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</si>
  <si>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</si>
  <si>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</si>
  <si>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</si>
  <si>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</si>
  <si>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</si>
  <si>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</si>
  <si>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</si>
  <si>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</si>
  <si>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</si>
  <si>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</si>
  <si>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</si>
  <si>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</si>
  <si>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</si>
  <si>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</si>
  <si>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</si>
  <si>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</si>
  <si>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</si>
  <si>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</si>
  <si>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</si>
  <si>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</si>
  <si>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</si>
  <si>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</si>
  <si>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</si>
  <si>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</si>
  <si>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</si>
  <si>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</si>
  <si>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</si>
  <si>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</si>
  <si>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</si>
  <si>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</si>
  <si>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</si>
  <si>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</si>
  <si>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</si>
  <si>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</si>
  <si>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</si>
  <si>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</si>
  <si>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</si>
  <si>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</si>
  <si>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</si>
  <si>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</si>
  <si>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</si>
  <si>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</si>
  <si>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</si>
  <si>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</si>
  <si>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</si>
  <si>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</si>
  <si>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</si>
  <si>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</si>
  <si>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</si>
  <si>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</si>
  <si>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</si>
  <si>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</si>
  <si>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</si>
  <si>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</si>
  <si>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</si>
  <si>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</si>
  <si>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</si>
  <si>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</si>
  <si>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</si>
  <si>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</si>
  <si>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</si>
  <si>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</si>
  <si>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</si>
  <si>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</si>
  <si>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</si>
  <si>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</si>
  <si>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</si>
  <si>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</si>
  <si>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</si>
  <si>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</si>
  <si>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</si>
  <si>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</si>
  <si>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</si>
  <si>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</si>
  <si>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</si>
  <si>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</si>
  <si>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</si>
  <si>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</si>
  <si>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</si>
  <si>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</si>
  <si>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</si>
  <si>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</si>
  <si>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</si>
  <si>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</si>
  <si>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</si>
  <si>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</si>
  <si>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</si>
  <si>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</si>
  <si>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</si>
  <si>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</si>
  <si>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</si>
  <si>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</si>
  <si>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</si>
  <si>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</si>
  <si>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</si>
  <si>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</si>
  <si>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</si>
  <si>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</si>
  <si>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</si>
  <si>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</si>
  <si>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</si>
  <si>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</si>
  <si>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</si>
  <si>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</si>
  <si>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</si>
  <si>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</si>
  <si>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</si>
  <si>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</si>
  <si>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</si>
  <si>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</si>
  <si>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</si>
  <si>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</si>
  <si>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</si>
  <si>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</si>
  <si>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</si>
  <si>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</si>
  <si>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</si>
  <si>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</si>
  <si>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</si>
  <si>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</si>
  <si>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</si>
  <si>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</si>
  <si>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</si>
  <si>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</si>
  <si>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</si>
  <si>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</si>
  <si>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</si>
  <si>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</si>
  <si>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</si>
  <si>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</si>
  <si>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</si>
  <si>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</si>
  <si>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</si>
  <si>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</si>
  <si>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</si>
  <si>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</si>
  <si>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</si>
  <si>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</si>
  <si>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</si>
  <si>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</si>
  <si>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</si>
  <si>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</si>
  <si>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</si>
  <si>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</si>
  <si>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</si>
  <si>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</si>
  <si>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</si>
  <si>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</si>
  <si>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</si>
  <si>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</si>
  <si>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</si>
  <si>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</si>
  <si>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</si>
  <si>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</si>
  <si>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</si>
  <si>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</si>
  <si>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</si>
  <si>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</si>
  <si>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</si>
  <si>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</si>
  <si>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</si>
  <si>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</si>
  <si>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</si>
  <si>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</si>
  <si>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</si>
  <si>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</si>
  <si>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</si>
  <si>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</si>
  <si>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</si>
  <si>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</si>
  <si>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</si>
  <si>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</si>
  <si>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</si>
  <si>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</si>
  <si>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</si>
  <si>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</si>
  <si>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</si>
  <si>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</si>
  <si>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</si>
  <si>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</si>
  <si>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</si>
  <si>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</si>
  <si>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</si>
  <si>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</si>
  <si>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</si>
  <si>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</si>
  <si>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</si>
  <si>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</si>
  <si>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</si>
  <si>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</si>
  <si>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</si>
  <si>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</si>
  <si>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</si>
  <si>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</si>
  <si>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</si>
  <si>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</si>
  <si>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</si>
  <si>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</si>
  <si>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</si>
  <si>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</si>
  <si>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</si>
  <si>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</si>
  <si>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</si>
  <si>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</si>
  <si>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</si>
  <si>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</si>
  <si>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</si>
  <si>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</si>
  <si>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</si>
  <si>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</si>
  <si>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</si>
  <si>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</si>
  <si>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</si>
  <si>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</si>
  <si>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</si>
  <si>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</si>
  <si>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</si>
  <si>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</si>
  <si>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</si>
  <si>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</si>
  <si>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</si>
  <si>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</si>
  <si>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</si>
  <si>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</si>
  <si>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</si>
  <si>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</si>
  <si>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</si>
  <si>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</si>
  <si>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</si>
  <si>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</si>
  <si>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</si>
  <si>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</si>
  <si>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</si>
  <si>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</si>
  <si>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</si>
  <si>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</si>
  <si>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</si>
  <si>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</si>
  <si>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</si>
  <si>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</si>
  <si>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</si>
  <si>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</si>
  <si>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</si>
  <si>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</si>
  <si>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</si>
  <si>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</si>
  <si>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</si>
  <si>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</si>
  <si>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</si>
  <si>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</si>
  <si>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</si>
  <si>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</si>
  <si>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</si>
  <si>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</si>
  <si>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</si>
  <si>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</si>
  <si>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</si>
  <si>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</si>
  <si>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</si>
  <si>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</si>
  <si>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</si>
  <si>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</si>
  <si>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</si>
  <si>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</si>
  <si>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</si>
  <si>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</si>
  <si>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</si>
  <si>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</si>
  <si>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</si>
  <si>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</si>
  <si>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</si>
  <si>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</si>
  <si>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</si>
  <si>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</si>
  <si>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</si>
  <si>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</si>
  <si>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</si>
  <si>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</si>
  <si>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</si>
  <si>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</si>
  <si>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</si>
  <si>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</si>
  <si>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</si>
  <si>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</si>
  <si>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</si>
  <si>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</si>
  <si>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</si>
  <si>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</si>
  <si>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</si>
  <si>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</si>
  <si>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</si>
  <si>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</si>
  <si>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</si>
  <si>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</si>
  <si>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</si>
  <si>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</si>
  <si>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</si>
  <si>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</si>
  <si>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</si>
  <si>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</si>
  <si>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</si>
  <si>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</si>
  <si>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</si>
  <si>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</si>
  <si>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</si>
  <si>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</si>
  <si>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</si>
  <si>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</si>
  <si>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</si>
  <si>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</si>
  <si>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</si>
  <si>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</si>
  <si>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</si>
  <si>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</si>
  <si>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</si>
  <si>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</si>
  <si>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</si>
  <si>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</si>
  <si>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</si>
  <si>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</si>
  <si>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</si>
  <si>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</si>
  <si>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</si>
  <si>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</si>
  <si>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</si>
  <si>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</si>
  <si>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</si>
  <si>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</si>
  <si>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</si>
  <si>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</si>
  <si>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</si>
  <si>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</si>
  <si>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</si>
  <si>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</si>
  <si>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</si>
  <si>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</si>
  <si>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</si>
  <si>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</si>
  <si>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</si>
  <si>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</si>
  <si>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</si>
  <si>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</si>
  <si>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</si>
  <si>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</si>
  <si>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</si>
  <si>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</si>
  <si>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</si>
  <si>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</si>
  <si>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</si>
  <si>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</si>
  <si>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</si>
  <si>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</si>
  <si>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</si>
  <si>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</si>
  <si>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</si>
  <si>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</si>
  <si>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</si>
  <si>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</si>
  <si>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</si>
  <si>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</si>
  <si>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</si>
  <si>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</si>
  <si>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</si>
  <si>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</si>
  <si>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</si>
  <si>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</si>
  <si>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</si>
  <si>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</si>
  <si>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</si>
  <si>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</si>
  <si>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</si>
  <si>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</si>
  <si>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</si>
  <si>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</si>
  <si>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</si>
  <si>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</si>
  <si>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</si>
  <si>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</si>
  <si>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</si>
  <si>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</si>
  <si>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</si>
  <si>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</si>
  <si>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</si>
  <si>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</si>
  <si>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</si>
  <si>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</si>
  <si>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</si>
  <si>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</si>
  <si>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</si>
  <si>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</si>
  <si>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</si>
  <si>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</si>
  <si>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</si>
  <si>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</si>
  <si>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</si>
  <si>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</si>
  <si>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</si>
  <si>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</si>
  <si>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</si>
  <si>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</si>
  <si>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</si>
  <si>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</si>
  <si>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</si>
  <si>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</si>
  <si>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</si>
  <si>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</si>
  <si>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</si>
  <si>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</si>
  <si>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</si>
  <si>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</si>
  <si>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</si>
  <si>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</si>
  <si>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</si>
  <si>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</si>
  <si>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</si>
  <si>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</si>
  <si>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</si>
  <si>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</si>
  <si>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</si>
  <si>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</si>
  <si>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</si>
  <si>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</si>
  <si>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</si>
  <si>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</si>
  <si>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</si>
  <si>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</si>
  <si>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</si>
  <si>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</si>
  <si>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</si>
  <si>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</si>
  <si>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</si>
  <si>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</si>
  <si>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</si>
  <si>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</si>
  <si>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</si>
  <si>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</si>
  <si>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</si>
  <si>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</si>
  <si>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</si>
  <si>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</si>
  <si>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</si>
  <si>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</si>
  <si>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</si>
  <si>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</si>
  <si>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</si>
  <si>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</si>
  <si>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</si>
  <si>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</si>
  <si>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</si>
  <si>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</si>
  <si>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</si>
  <si>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</si>
  <si>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</si>
  <si>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</si>
  <si>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</si>
  <si>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</si>
  <si>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</si>
  <si>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</si>
  <si>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</si>
  <si>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</si>
  <si>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</si>
  <si>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</si>
  <si>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</si>
  <si>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</si>
  <si>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</si>
  <si>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</si>
  <si>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</si>
  <si>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</si>
  <si>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</si>
  <si>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</si>
  <si>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</si>
  <si>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</si>
  <si>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</si>
  <si>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</si>
  <si>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</si>
  <si>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</si>
  <si>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</si>
  <si>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</si>
  <si>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</si>
  <si>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</si>
  <si>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</si>
  <si>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</si>
  <si>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</si>
  <si>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</si>
  <si>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</si>
  <si>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</si>
  <si>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</si>
  <si>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</si>
  <si>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</si>
  <si>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</si>
  <si>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</si>
  <si>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</si>
  <si>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</si>
  <si>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</si>
  <si>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</si>
  <si>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</si>
  <si>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</si>
  <si>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</si>
  <si>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</si>
  <si>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</si>
  <si>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</si>
  <si>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</si>
  <si>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</si>
  <si>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</si>
  <si>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</si>
  <si>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</si>
  <si>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</si>
  <si>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</si>
  <si>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</si>
  <si>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</si>
  <si>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</si>
  <si>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</si>
  <si>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</si>
  <si>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</si>
  <si>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</si>
  <si>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</si>
  <si>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</si>
  <si>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</si>
  <si>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</si>
  <si>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</si>
  <si>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</si>
  <si>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</si>
  <si>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</si>
  <si>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</si>
  <si>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</si>
  <si>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</si>
  <si>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</si>
  <si>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</si>
  <si>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</si>
  <si>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</si>
  <si>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</si>
  <si>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</si>
  <si>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</si>
  <si>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</si>
  <si>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</si>
  <si>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</si>
  <si>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</si>
  <si>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</si>
  <si>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</si>
  <si>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</si>
  <si>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</si>
  <si>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</si>
  <si>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</si>
  <si>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</si>
  <si>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</si>
  <si>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</si>
  <si>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</si>
  <si>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</si>
  <si>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</si>
  <si>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</si>
  <si>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</si>
  <si>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</si>
  <si>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</si>
  <si>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</si>
  <si>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</si>
  <si>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</si>
  <si>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</si>
  <si>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</si>
  <si>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</si>
  <si>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</si>
  <si>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</si>
  <si>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</si>
  <si>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</si>
  <si>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</si>
  <si>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</si>
  <si>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</si>
  <si>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</si>
  <si>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</si>
  <si>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</si>
  <si>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</si>
  <si>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</si>
  <si>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</si>
  <si>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</si>
  <si>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</si>
  <si>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</si>
  <si>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</si>
  <si>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</si>
  <si>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</si>
  <si>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</si>
  <si>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</si>
  <si>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</si>
  <si>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</si>
  <si>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</si>
  <si>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</si>
  <si>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</si>
  <si>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</si>
  <si>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</si>
  <si>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</si>
  <si>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</si>
  <si>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</si>
  <si>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</si>
  <si>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</si>
  <si>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</si>
  <si>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</si>
  <si>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</si>
  <si>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</si>
  <si>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</si>
  <si>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</si>
  <si>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</si>
  <si>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</si>
  <si>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</si>
  <si>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</si>
  <si>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</si>
  <si>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</si>
  <si>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</si>
  <si>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</si>
  <si>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</si>
  <si>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</si>
  <si>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</si>
  <si>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</si>
  <si>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</si>
  <si>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</si>
  <si>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</si>
  <si>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</si>
  <si>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</si>
  <si>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</si>
  <si>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</si>
  <si>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</si>
  <si>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</si>
  <si>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</si>
  <si>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</si>
  <si>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</si>
  <si>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</si>
  <si>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</si>
  <si>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</si>
  <si>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</si>
  <si>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</si>
  <si>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</si>
  <si>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</si>
  <si>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</si>
  <si>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</si>
  <si>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</si>
  <si>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</si>
  <si>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</si>
  <si>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</si>
  <si>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</si>
  <si>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</si>
  <si>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</si>
  <si>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</si>
  <si>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</si>
  <si>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</si>
  <si>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</si>
  <si>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</si>
  <si>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</si>
  <si>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</si>
  <si>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</si>
  <si>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</si>
  <si>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</si>
  <si>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</si>
  <si>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</si>
  <si>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</si>
  <si>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</si>
  <si>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</si>
  <si>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</si>
  <si>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</si>
  <si>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</si>
  <si>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</si>
  <si>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</si>
  <si>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</si>
  <si>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</si>
  <si>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</si>
  <si>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</si>
  <si>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</si>
  <si>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</si>
  <si>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</si>
  <si>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</si>
  <si>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</si>
  <si>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</si>
  <si>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</si>
  <si>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</si>
  <si>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</si>
  <si>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</si>
  <si>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</si>
  <si>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</si>
  <si>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</si>
  <si>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</si>
  <si>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</si>
  <si>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</si>
  <si>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</si>
  <si>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</si>
  <si>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</si>
  <si>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</si>
  <si>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</si>
  <si>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</si>
  <si>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</si>
  <si>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</si>
  <si>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</si>
  <si>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</si>
  <si>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</si>
  <si>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</si>
  <si>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</si>
  <si>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</si>
  <si>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</si>
  <si>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</si>
  <si>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</si>
  <si>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</si>
  <si>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</si>
  <si>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</si>
  <si>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</si>
  <si>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</si>
  <si>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</si>
  <si>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</si>
  <si>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</si>
  <si>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</si>
  <si>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</si>
  <si>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</si>
  <si>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</si>
  <si>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</si>
  <si>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</si>
  <si>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</si>
  <si>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</si>
  <si>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</si>
  <si>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</si>
  <si>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</si>
  <si>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</si>
  <si>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</si>
  <si>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</si>
  <si>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</si>
  <si>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</si>
  <si>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</si>
  <si>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</si>
  <si>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</si>
  <si>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</si>
  <si>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</si>
  <si>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</si>
  <si>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</si>
  <si>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</si>
  <si>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</si>
  <si>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</si>
  <si>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</si>
  <si>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</si>
  <si>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</si>
  <si>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</si>
  <si>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</si>
  <si>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</si>
  <si>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</si>
  <si>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</si>
  <si>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</si>
  <si>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</si>
  <si>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</si>
  <si>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</si>
  <si>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</si>
  <si>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</si>
  <si>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</si>
  <si>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</si>
  <si>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</si>
  <si>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</si>
  <si>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</si>
  <si>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</si>
  <si>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</si>
  <si>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</si>
  <si>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</si>
  <si>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</si>
  <si>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</si>
  <si>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</si>
  <si>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</si>
  <si>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</si>
  <si>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</si>
  <si>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</si>
  <si>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</si>
  <si>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</si>
  <si>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</si>
  <si>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</si>
  <si>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</si>
  <si>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</si>
  <si>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</si>
  <si>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</si>
  <si>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</si>
  <si>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</si>
  <si>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</si>
  <si>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</si>
  <si>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</si>
  <si>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</si>
  <si>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</si>
  <si>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</si>
  <si>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</si>
  <si>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</si>
  <si>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</si>
  <si>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</si>
  <si>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</si>
  <si>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</si>
  <si>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</si>
  <si>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</si>
  <si>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</si>
  <si>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</si>
  <si>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</si>
  <si>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</si>
  <si>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</si>
  <si>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</si>
  <si>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</si>
  <si>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</si>
  <si>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</si>
  <si>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</si>
  <si>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</si>
  <si>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</si>
  <si>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</si>
  <si>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</si>
  <si>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</si>
  <si>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</si>
  <si>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</si>
  <si>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</si>
  <si>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</si>
  <si>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</si>
  <si>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</si>
  <si>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</si>
  <si>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</si>
  <si>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</si>
  <si>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</si>
  <si>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</si>
  <si>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</si>
  <si>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</si>
  <si>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</si>
  <si>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</si>
  <si>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</si>
  <si>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</si>
  <si>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</si>
  <si>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</si>
  <si>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</si>
  <si>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</si>
  <si>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</si>
  <si>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</si>
  <si>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</si>
  <si>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</si>
  <si>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</si>
  <si>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</si>
  <si>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</si>
  <si>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</si>
  <si>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</si>
  <si>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</si>
  <si>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</si>
  <si>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</si>
  <si>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</si>
  <si>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</si>
  <si>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</si>
  <si>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</si>
  <si>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</si>
  <si>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</si>
  <si>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</si>
  <si>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</si>
  <si>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</si>
  <si>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</si>
  <si>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</si>
  <si>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</si>
  <si>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</si>
  <si>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</si>
  <si>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</si>
  <si>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</si>
  <si>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</si>
  <si>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</si>
  <si>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</si>
  <si>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</si>
  <si>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</si>
  <si>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</si>
  <si>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</si>
  <si>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</si>
  <si>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</si>
  <si>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</si>
  <si>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</si>
  <si>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</si>
  <si>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</si>
  <si>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</si>
  <si>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</si>
  <si>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</si>
  <si>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</si>
  <si>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</si>
  <si>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</si>
  <si>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</si>
  <si>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</si>
  <si>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</si>
  <si>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</si>
  <si>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</si>
  <si>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</si>
  <si>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</si>
  <si>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</si>
  <si>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</si>
  <si>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</si>
  <si>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</si>
  <si>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</si>
  <si>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</si>
  <si>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</si>
  <si>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</si>
  <si>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</si>
  <si>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</si>
  <si>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</si>
  <si>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</si>
  <si>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</si>
  <si>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</si>
  <si>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</si>
  <si>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</si>
  <si>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</si>
  <si>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</si>
  <si>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</si>
  <si>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</si>
  <si>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</si>
  <si>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</si>
  <si>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</si>
  <si>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</si>
  <si>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</si>
  <si>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</si>
  <si>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</si>
  <si>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</si>
  <si>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</si>
  <si>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</si>
  <si>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</si>
  <si>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</si>
  <si>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</si>
  <si>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</si>
  <si>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</si>
  <si>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</si>
  <si>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</si>
  <si>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</si>
  <si>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</si>
  <si>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</si>
  <si>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</si>
  <si>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</si>
  <si>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</si>
  <si>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</si>
  <si>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</si>
  <si>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</si>
  <si>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</si>
  <si>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</si>
  <si>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</si>
  <si>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</si>
  <si>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</si>
  <si>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</si>
  <si>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</si>
  <si>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</si>
  <si>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</si>
  <si>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</si>
  <si>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</si>
  <si>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</si>
  <si>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</si>
  <si>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</si>
  <si>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</si>
  <si>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</si>
  <si>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</si>
  <si>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</si>
  <si>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</si>
  <si>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</si>
  <si>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</si>
  <si>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</si>
  <si>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</si>
  <si>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</si>
  <si>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</si>
  <si>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</si>
  <si>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</si>
  <si>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</si>
  <si>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</si>
  <si>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</si>
  <si>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</si>
  <si>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</si>
  <si>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</si>
  <si>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</si>
  <si>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</si>
  <si>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</si>
  <si>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</si>
  <si>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</si>
  <si>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</si>
  <si>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</si>
  <si>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</si>
  <si>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</si>
  <si>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</si>
  <si>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</si>
  <si>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</si>
  <si>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</si>
  <si>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</si>
  <si>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</si>
  <si>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</si>
  <si>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</si>
  <si>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</si>
  <si>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</si>
  <si>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</si>
  <si>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</si>
  <si>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</si>
  <si>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</si>
  <si>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</si>
  <si>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</si>
  <si>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</si>
  <si>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</si>
  <si>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</si>
  <si>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</si>
  <si>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</si>
  <si>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</si>
  <si>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</si>
  <si>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</si>
  <si>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</si>
  <si>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</si>
  <si>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</si>
  <si>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</si>
  <si>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</si>
  <si>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</si>
  <si>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</si>
  <si>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</si>
  <si>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</si>
  <si>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</si>
  <si>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</si>
  <si>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</si>
  <si>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</si>
  <si>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</si>
  <si>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</si>
  <si>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</si>
  <si>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</si>
  <si>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</si>
  <si>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</si>
  <si>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</si>
  <si>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</si>
  <si>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</si>
  <si>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</si>
  <si>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</si>
  <si>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</si>
  <si>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</si>
  <si>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</si>
  <si>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</si>
  <si>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</si>
  <si>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</si>
  <si>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</si>
  <si>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</si>
  <si>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</si>
  <si>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</si>
  <si>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</si>
  <si>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</si>
  <si>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</si>
  <si>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</si>
  <si>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</si>
  <si>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</si>
  <si>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</si>
  <si>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</si>
  <si>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</si>
  <si>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</si>
  <si>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</si>
  <si>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</si>
  <si>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</si>
  <si>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</si>
  <si>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</si>
  <si>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</si>
  <si>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</si>
  <si>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</si>
  <si>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</si>
  <si>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</si>
  <si>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</si>
  <si>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</si>
  <si>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</si>
  <si>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</si>
  <si>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</si>
  <si>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</si>
  <si>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</si>
  <si>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</si>
  <si>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</si>
  <si>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</si>
  <si>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</si>
  <si>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</si>
  <si>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</si>
  <si>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</si>
  <si>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</si>
  <si>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</si>
  <si>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</si>
  <si>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</si>
  <si>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</si>
  <si>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</si>
  <si>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</si>
  <si>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</si>
  <si>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</si>
  <si>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</si>
  <si>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</si>
  <si>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</si>
  <si>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</si>
  <si>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</si>
  <si>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</si>
  <si>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</si>
  <si>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</si>
  <si>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</si>
  <si>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</si>
  <si>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</si>
  <si>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</si>
  <si>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</si>
  <si>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</si>
  <si>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</si>
  <si>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</si>
  <si>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</si>
  <si>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</si>
  <si>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</si>
  <si>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</si>
  <si>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</si>
  <si>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</si>
  <si>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</si>
  <si>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</si>
  <si>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</si>
  <si>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</si>
  <si>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</si>
  <si>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</si>
  <si>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</si>
  <si>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</si>
  <si>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</si>
  <si>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</si>
  <si>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</si>
  <si>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</si>
  <si>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</si>
  <si>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</si>
  <si>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</si>
  <si>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</si>
  <si>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</si>
  <si>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</si>
  <si>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</si>
  <si>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</si>
  <si>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</si>
  <si>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</si>
  <si>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</si>
  <si>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</si>
  <si>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</si>
  <si>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</si>
  <si>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</si>
  <si>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</si>
  <si>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</si>
  <si>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</si>
  <si>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</si>
  <si>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</si>
  <si>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</si>
  <si>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</si>
  <si>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</si>
  <si>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</si>
  <si>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</si>
  <si>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</si>
  <si>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</si>
  <si>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</si>
  <si>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</si>
  <si>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</si>
  <si>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</si>
  <si>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</si>
  <si>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</si>
  <si>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</si>
  <si>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</si>
  <si>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</si>
  <si>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</si>
  <si>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</si>
  <si>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</si>
  <si>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</si>
  <si>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</si>
  <si>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</si>
  <si>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</si>
  <si>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</si>
  <si>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</si>
  <si>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</si>
  <si>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</si>
  <si>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</si>
  <si>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</si>
  <si>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</si>
  <si>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</si>
  <si>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</si>
  <si>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</si>
  <si>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</si>
  <si>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</si>
  <si>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</si>
  <si>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</si>
  <si>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</si>
  <si>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</si>
  <si>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</si>
  <si>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</si>
  <si>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</si>
  <si>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</si>
  <si>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</si>
  <si>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</si>
  <si>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</si>
  <si>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</si>
  <si>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</si>
  <si>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</si>
  <si>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</si>
  <si>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</si>
  <si>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</si>
  <si>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</si>
  <si>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</si>
  <si>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</si>
  <si>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</si>
  <si>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</si>
  <si>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</si>
  <si>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</si>
  <si>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</si>
  <si>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</si>
  <si>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</si>
  <si>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</si>
  <si>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</si>
  <si>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</si>
  <si>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</si>
  <si>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</si>
  <si>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</si>
  <si>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</si>
  <si>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</si>
  <si>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</si>
  <si>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</si>
  <si>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</si>
  <si>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</si>
  <si>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</si>
  <si>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</si>
  <si>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</si>
  <si>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</si>
  <si>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</si>
  <si>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</si>
  <si>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</si>
  <si>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</si>
  <si>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</si>
  <si>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</si>
  <si>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</si>
  <si>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</si>
  <si>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</si>
  <si>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</si>
  <si>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</si>
  <si>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</si>
  <si>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</si>
  <si>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</si>
  <si>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</si>
  <si>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</si>
  <si>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</si>
  <si>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</si>
  <si>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</si>
  <si>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</si>
  <si>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</si>
  <si>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</si>
  <si>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</si>
  <si>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</si>
  <si>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</si>
  <si>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</si>
  <si>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</si>
  <si>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</si>
  <si>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</si>
  <si>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</si>
  <si>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</si>
  <si>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</si>
  <si>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</si>
  <si>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</si>
  <si>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</si>
  <si>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</si>
  <si>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</si>
  <si>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</si>
  <si>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</si>
  <si>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</si>
  <si>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</si>
  <si>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</si>
  <si>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</si>
  <si>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</si>
  <si>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</si>
  <si>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</si>
  <si>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</si>
  <si>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</si>
  <si>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</si>
  <si>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</si>
  <si>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</si>
  <si>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</si>
  <si>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</si>
  <si>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</si>
  <si>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</si>
  <si>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</si>
  <si>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</si>
  <si>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</si>
  <si>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</si>
  <si>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</si>
  <si>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</si>
  <si>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</si>
  <si>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</si>
  <si>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</si>
  <si>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</si>
  <si>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</si>
  <si>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</si>
  <si>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</si>
  <si>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</si>
  <si>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</si>
  <si>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</si>
  <si>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</si>
  <si>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</si>
  <si>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</si>
  <si>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</si>
  <si>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</si>
  <si>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</si>
  <si>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</si>
  <si>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</si>
  <si>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</si>
  <si>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</si>
  <si>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</si>
  <si>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</si>
  <si>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</si>
  <si>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</si>
  <si>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</si>
  <si>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</si>
  <si>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</si>
  <si>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</si>
  <si>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</si>
  <si>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</si>
  <si>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</si>
  <si>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</si>
  <si>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</si>
  <si>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</si>
  <si>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</si>
  <si>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</si>
  <si>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</si>
  <si>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</si>
  <si>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</si>
  <si>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</si>
  <si>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</si>
  <si>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</si>
  <si>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</si>
  <si>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</si>
  <si>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</si>
  <si>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</si>
  <si>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</si>
  <si>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</si>
  <si>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</si>
  <si>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</si>
  <si>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</si>
  <si>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</si>
  <si>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</si>
  <si>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</si>
  <si>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</si>
  <si>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</si>
  <si>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</si>
  <si>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</si>
  <si>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</si>
  <si>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</si>
  <si>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</si>
  <si>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</si>
  <si>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</si>
  <si>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</si>
  <si>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</si>
  <si>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</si>
  <si>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</si>
  <si>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</si>
  <si>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</si>
  <si>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</si>
  <si>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</si>
  <si>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</si>
  <si>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</si>
  <si>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</si>
  <si>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</si>
  <si>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</si>
  <si>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</si>
  <si>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</si>
  <si>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</si>
  <si>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</si>
  <si>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</si>
  <si>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</si>
  <si>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</si>
  <si>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</si>
  <si>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</si>
  <si>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</si>
  <si>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</si>
  <si>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</si>
  <si>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</si>
  <si>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</si>
  <si>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</si>
  <si>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</si>
  <si>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</si>
  <si>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</si>
  <si>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</si>
  <si>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</si>
  <si>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</si>
  <si>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</si>
  <si>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</si>
  <si>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</si>
  <si>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</si>
  <si>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</si>
  <si>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</si>
  <si>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</si>
  <si>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</si>
  <si>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</si>
  <si>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</si>
  <si>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</si>
  <si>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</si>
  <si>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</si>
  <si>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</si>
  <si>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</si>
  <si>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</si>
  <si>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</si>
  <si>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</si>
  <si>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</si>
  <si>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</si>
  <si>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</si>
  <si>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</si>
  <si>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</si>
  <si>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</si>
  <si>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</si>
  <si>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</si>
  <si>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</si>
  <si>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</si>
  <si>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</si>
  <si>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</si>
  <si>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</si>
  <si>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</si>
  <si>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</si>
  <si>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</si>
  <si>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</si>
  <si>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</si>
  <si>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</si>
  <si>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</si>
  <si>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</si>
  <si>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</si>
  <si>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</si>
  <si>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</si>
  <si>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</si>
  <si>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</si>
  <si>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</si>
  <si>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</si>
  <si>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</si>
  <si>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</si>
  <si>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</si>
  <si>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</si>
  <si>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</si>
  <si>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</si>
  <si>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</si>
  <si>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</si>
  <si>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</si>
  <si>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</si>
  <si>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</si>
  <si>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</si>
  <si>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</si>
  <si>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</si>
  <si>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</si>
  <si>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</si>
  <si>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</si>
  <si>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</si>
  <si>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</si>
  <si>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</si>
  <si>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</si>
  <si>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</si>
  <si>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</si>
  <si>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</si>
  <si>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</si>
  <si>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</si>
  <si>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</si>
  <si>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</si>
  <si>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</si>
  <si>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</si>
  <si>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</si>
  <si>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</si>
  <si>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</si>
  <si>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</si>
  <si>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</si>
  <si>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</si>
  <si>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</si>
  <si>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</si>
  <si>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</si>
  <si>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</si>
  <si>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</si>
  <si>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</si>
  <si>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</si>
  <si>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</si>
  <si>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</si>
  <si>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</si>
  <si>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</si>
  <si>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</si>
  <si>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</si>
  <si>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</si>
  <si>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</si>
  <si>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</si>
  <si>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</si>
  <si>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</si>
  <si>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</si>
  <si>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</si>
  <si>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</si>
  <si>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</si>
  <si>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</si>
  <si>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</si>
  <si>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</si>
  <si>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</si>
  <si>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</si>
  <si>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</si>
  <si>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</si>
  <si>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</si>
  <si>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</si>
  <si>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</si>
  <si>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</si>
  <si>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</si>
  <si>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</si>
  <si>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</si>
  <si>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</si>
  <si>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</si>
  <si>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</si>
  <si>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</si>
  <si>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</si>
  <si>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</si>
  <si>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</si>
  <si>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</si>
  <si>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</si>
  <si>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</si>
  <si>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</si>
  <si>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</si>
  <si>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</si>
  <si>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</si>
  <si>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</si>
  <si>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</si>
  <si>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</si>
  <si>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</si>
  <si>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</si>
  <si>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</si>
  <si>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</si>
  <si>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</si>
  <si>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</si>
  <si>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</si>
  <si>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</si>
  <si>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</si>
  <si>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</si>
  <si>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</si>
  <si>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</si>
  <si>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</si>
  <si>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</si>
  <si>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</si>
  <si>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</si>
  <si>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</si>
  <si>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</si>
  <si>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</si>
  <si>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</si>
  <si>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</si>
  <si>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</si>
  <si>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</si>
  <si>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</si>
  <si>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</si>
  <si>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</si>
  <si>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</si>
  <si>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</si>
  <si>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</si>
  <si>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</si>
  <si>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</si>
  <si>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</si>
  <si>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</si>
  <si>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</si>
  <si>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</si>
  <si>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</si>
  <si>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</si>
  <si>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</si>
  <si>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</si>
  <si>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</si>
  <si>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</si>
  <si>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</si>
  <si>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</si>
  <si>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</si>
  <si>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</si>
  <si>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</si>
  <si>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</si>
  <si>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</si>
  <si>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</si>
  <si>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</si>
  <si>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</si>
  <si>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</si>
  <si>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</si>
  <si>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</si>
  <si>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</si>
  <si>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</si>
  <si>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</si>
  <si>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</si>
  <si>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</si>
  <si>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</si>
  <si>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</si>
  <si>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</si>
  <si>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</si>
  <si>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</si>
  <si>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</si>
  <si>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</si>
  <si>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</si>
  <si>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</si>
  <si>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</si>
  <si>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</si>
  <si>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</si>
  <si>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</si>
  <si>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</si>
  <si>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</si>
  <si>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</si>
  <si>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</si>
  <si>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</si>
  <si>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</si>
  <si>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</si>
  <si>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</si>
  <si>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</si>
  <si>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</si>
  <si>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</si>
  <si>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</si>
  <si>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</si>
  <si>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</si>
  <si>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</si>
  <si>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</si>
  <si>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</si>
  <si>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</si>
  <si>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</si>
  <si>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</si>
  <si>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</si>
  <si>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</si>
  <si>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</si>
  <si>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</si>
  <si>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</si>
  <si>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</si>
  <si>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</si>
  <si>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</si>
  <si>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</si>
  <si>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</si>
  <si>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</si>
  <si>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</si>
  <si>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</si>
  <si>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</si>
  <si>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</si>
  <si>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</si>
  <si>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</si>
  <si>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</si>
  <si>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</si>
  <si>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</si>
  <si>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</si>
  <si>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</si>
  <si>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</si>
  <si>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</si>
  <si>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</si>
  <si>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</si>
  <si>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</si>
  <si>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</si>
  <si>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</si>
  <si>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</si>
  <si>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</si>
  <si>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</si>
  <si>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</si>
  <si>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</si>
  <si>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</si>
  <si>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</si>
  <si>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</si>
  <si>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</si>
  <si>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</si>
  <si>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</si>
  <si>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</si>
  <si>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</si>
  <si>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</si>
  <si>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</si>
  <si>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</si>
  <si>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</si>
  <si>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</si>
  <si>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</si>
  <si>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</si>
  <si>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</si>
  <si>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</si>
  <si>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</si>
  <si>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</si>
  <si>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</si>
  <si>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</si>
  <si>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</si>
  <si>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</si>
  <si>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</si>
  <si>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</si>
  <si>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</si>
  <si>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</si>
  <si>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</si>
  <si>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</si>
  <si>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</si>
  <si>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</si>
  <si>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</si>
  <si>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</si>
  <si>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</si>
  <si>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</si>
  <si>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</si>
  <si>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</si>
  <si>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</si>
  <si>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</si>
  <si>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</si>
  <si>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</si>
  <si>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</si>
  <si>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</si>
  <si>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</si>
  <si>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</si>
  <si>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</si>
  <si>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</si>
  <si>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</si>
  <si>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</si>
  <si>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</si>
  <si>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</si>
  <si>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</si>
  <si>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</si>
  <si>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</si>
  <si>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</si>
  <si>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</si>
  <si>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</si>
  <si>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</si>
  <si>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</si>
  <si>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</si>
  <si>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</si>
  <si>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</si>
  <si>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</si>
  <si>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</si>
  <si>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</si>
  <si>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</si>
  <si>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</si>
  <si>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</si>
  <si>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</si>
  <si>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</si>
  <si>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</si>
  <si>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</si>
  <si>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</si>
  <si>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</si>
  <si>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</si>
  <si>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</si>
  <si>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</si>
  <si>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</si>
  <si>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</si>
  <si>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</si>
  <si>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</si>
  <si>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</si>
  <si>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</si>
  <si>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</si>
  <si>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</si>
  <si>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</si>
  <si>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</si>
  <si>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</si>
  <si>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</si>
  <si>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</si>
  <si>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</si>
  <si>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</si>
  <si>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</si>
  <si>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</si>
  <si>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</si>
  <si>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</si>
  <si>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</si>
  <si>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</si>
  <si>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</si>
  <si>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</si>
  <si>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</si>
  <si>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</si>
  <si>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</si>
  <si>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</si>
  <si>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</si>
  <si>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</si>
  <si>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</si>
  <si>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</si>
  <si>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</si>
  <si>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</si>
  <si>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</si>
  <si>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</si>
  <si>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</si>
  <si>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</si>
  <si>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</si>
  <si>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</si>
  <si>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</si>
  <si>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</si>
  <si>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</si>
  <si>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</si>
  <si>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</si>
  <si>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</si>
  <si>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</si>
  <si>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</si>
  <si>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</si>
  <si>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</si>
  <si>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</si>
  <si>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</si>
  <si>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</si>
  <si>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</si>
  <si>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</si>
  <si>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</si>
  <si>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</si>
  <si>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</si>
  <si>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</si>
  <si>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</si>
  <si>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</si>
  <si>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</si>
  <si>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</si>
  <si>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</si>
  <si>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</si>
  <si>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</si>
  <si>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</si>
  <si>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</si>
  <si>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</si>
  <si>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</si>
  <si>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</si>
  <si>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</si>
  <si>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</si>
  <si>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</si>
  <si>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</si>
  <si>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</si>
  <si>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</si>
  <si>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</si>
  <si>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</si>
  <si>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</si>
  <si>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</si>
  <si>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</si>
  <si>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</si>
  <si>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</si>
  <si>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</si>
  <si>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</si>
  <si>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</si>
  <si>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</si>
  <si>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</si>
  <si>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</si>
  <si>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</si>
  <si>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</si>
  <si>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</si>
  <si>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</si>
  <si>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</si>
  <si>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</si>
  <si>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</si>
  <si>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</si>
  <si>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</si>
  <si>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</si>
  <si>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</si>
  <si>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</si>
  <si>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</si>
  <si>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</si>
  <si>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</si>
  <si>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</si>
  <si>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</si>
  <si>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</si>
  <si>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</si>
  <si>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</si>
  <si>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</si>
  <si>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</si>
  <si>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</si>
  <si>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</si>
  <si>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</si>
  <si>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</si>
  <si>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</si>
  <si>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</si>
  <si>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</si>
  <si>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</si>
  <si>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</si>
  <si>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</si>
  <si>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</si>
  <si>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</si>
  <si>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</si>
  <si>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</si>
  <si>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</si>
  <si>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</si>
  <si>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</si>
  <si>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</si>
  <si>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</si>
  <si>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</si>
  <si>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</si>
  <si>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</si>
  <si>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</si>
  <si>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</si>
  <si>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</si>
  <si>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</si>
  <si>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</si>
  <si>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</si>
  <si>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</si>
  <si>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</si>
  <si>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</si>
  <si>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</si>
  <si>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</si>
  <si>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</si>
  <si>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</si>
  <si>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</si>
  <si>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</si>
  <si>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</si>
  <si>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</si>
  <si>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</si>
  <si>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</si>
  <si>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</si>
  <si>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</si>
  <si>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</si>
  <si>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</si>
  <si>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</si>
  <si>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</si>
  <si>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</si>
  <si>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</si>
  <si>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</si>
  <si>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</si>
  <si>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</si>
  <si>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</si>
  <si>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</si>
  <si>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</si>
  <si>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</si>
  <si>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</si>
  <si>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</si>
  <si>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</si>
  <si>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</si>
  <si>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</si>
  <si>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</si>
  <si>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</si>
  <si>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</si>
  <si>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</si>
  <si>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</si>
  <si>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</si>
  <si>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</si>
  <si>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</si>
  <si>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</si>
  <si>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</si>
  <si>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</si>
  <si>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</si>
  <si>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</si>
  <si>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</si>
  <si>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</si>
  <si>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</si>
  <si>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</si>
  <si>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</si>
  <si>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</si>
  <si>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</si>
  <si>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</si>
  <si>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</si>
  <si>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</si>
  <si>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</si>
  <si>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</si>
  <si>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</si>
  <si>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</si>
  <si>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</si>
  <si>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</si>
  <si>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</si>
  <si>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</si>
  <si>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</si>
  <si>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</si>
  <si>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</si>
  <si>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</si>
  <si>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</si>
  <si>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</si>
  <si>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</si>
  <si>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</si>
  <si>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</si>
  <si>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</si>
  <si>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</si>
  <si>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</si>
  <si>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</si>
  <si>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</si>
  <si>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</si>
  <si>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</si>
  <si>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</si>
  <si>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</si>
  <si>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</si>
  <si>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</si>
  <si>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</si>
  <si>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</si>
  <si>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</si>
  <si>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</si>
  <si>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</si>
  <si>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</si>
  <si>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</si>
  <si>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</si>
  <si>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</si>
  <si>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</si>
  <si>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</si>
  <si>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</si>
  <si>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</si>
  <si>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</si>
  <si>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</si>
  <si>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</si>
  <si>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</si>
  <si>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</si>
  <si>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</si>
  <si>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</si>
  <si>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</si>
  <si>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</si>
  <si>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</si>
  <si>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</si>
  <si>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</si>
  <si>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</si>
  <si>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</si>
  <si>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</si>
  <si>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</si>
  <si>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</si>
  <si>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</si>
  <si>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</si>
  <si>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</si>
  <si>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</si>
  <si>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</si>
  <si>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</si>
  <si>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</si>
  <si>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</si>
  <si>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</si>
  <si>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</si>
  <si>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</si>
  <si>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</si>
  <si>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</si>
  <si>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</si>
  <si>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</si>
  <si>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</si>
  <si>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</si>
  <si>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</si>
  <si>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</si>
  <si>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</si>
  <si>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</si>
  <si>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</si>
  <si>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</si>
  <si>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</si>
  <si>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</si>
  <si>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</si>
  <si>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</si>
  <si>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</si>
  <si>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</si>
  <si>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</si>
  <si>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</si>
  <si>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</si>
  <si>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</si>
  <si>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</si>
  <si>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</si>
  <si>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</si>
  <si>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</si>
  <si>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</si>
  <si>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</si>
  <si>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</si>
  <si>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</si>
  <si>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</si>
  <si>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</si>
  <si>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</si>
  <si>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</si>
  <si>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</si>
  <si>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</si>
  <si>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</si>
  <si>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</si>
  <si>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</si>
  <si>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</si>
  <si>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</si>
  <si>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</si>
  <si>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</si>
  <si>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</si>
  <si>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</si>
  <si>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</si>
  <si>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</si>
  <si>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</si>
  <si>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</si>
  <si>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</si>
  <si>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</si>
  <si>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</si>
  <si>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</si>
  <si>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</si>
  <si>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</si>
  <si>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</si>
  <si>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</si>
  <si>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</si>
  <si>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</si>
  <si>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</si>
  <si>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</si>
  <si>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</si>
  <si>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</si>
  <si>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</si>
  <si>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</si>
  <si>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</si>
  <si>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</si>
  <si>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</si>
  <si>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</si>
  <si>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</si>
  <si>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</si>
  <si>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</si>
  <si>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</si>
  <si>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</si>
  <si>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</si>
  <si>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</si>
  <si>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</si>
  <si>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</si>
  <si>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</si>
  <si>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</si>
  <si>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</si>
  <si>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</si>
  <si>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</si>
  <si>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</si>
  <si>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</si>
  <si>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</si>
  <si>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</si>
  <si>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</si>
  <si>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</si>
  <si>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</si>
  <si>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</si>
  <si>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</si>
  <si>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</si>
  <si>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</si>
  <si>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</si>
  <si>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</si>
  <si>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</si>
  <si>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</si>
  <si>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</si>
  <si>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</si>
  <si>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</si>
  <si>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</si>
  <si>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</si>
  <si>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</si>
  <si>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</si>
  <si>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</si>
  <si>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</si>
  <si>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</si>
  <si>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</si>
  <si>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</si>
  <si>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</si>
  <si>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</si>
  <si>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</si>
  <si>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</si>
  <si>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</si>
  <si>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</si>
  <si>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</si>
  <si>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</si>
  <si>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</si>
  <si>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</si>
  <si>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</si>
  <si>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</si>
  <si>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</si>
  <si>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</si>
  <si>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</si>
  <si>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</si>
  <si>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</si>
  <si>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</si>
  <si>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</si>
  <si>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</si>
  <si>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</si>
  <si>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</si>
  <si>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</si>
  <si>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</si>
  <si>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</si>
  <si>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</si>
  <si>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</si>
  <si>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</si>
  <si>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</si>
  <si>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</si>
  <si>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</si>
  <si>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</si>
  <si>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</si>
  <si>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</si>
  <si>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</si>
  <si>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</si>
  <si>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</si>
  <si>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</si>
  <si>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</si>
  <si>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</si>
  <si>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</si>
  <si>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</si>
  <si>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</si>
  <si>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</si>
  <si>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</si>
  <si>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</si>
  <si>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</si>
  <si>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</si>
  <si>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</si>
  <si>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</si>
  <si>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</si>
  <si>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</si>
  <si>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</si>
  <si>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</si>
  <si>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</si>
  <si>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</si>
  <si>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</si>
  <si>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</si>
  <si>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</si>
  <si>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</si>
  <si>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</si>
  <si>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</si>
  <si>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</si>
  <si>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</si>
  <si>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</si>
  <si>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</si>
  <si>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</si>
  <si>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</si>
  <si>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</si>
  <si>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</si>
  <si>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</si>
  <si>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</si>
  <si>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</si>
  <si>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</si>
  <si>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</si>
  <si>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</si>
  <si>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</si>
  <si>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</si>
  <si>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</si>
  <si>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</si>
  <si>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</si>
  <si>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</si>
  <si>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</si>
  <si>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</si>
  <si>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</si>
  <si>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</si>
  <si>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</si>
  <si>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</si>
  <si>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</si>
  <si>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</si>
  <si>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</si>
  <si>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</si>
  <si>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</si>
  <si>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</si>
  <si>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</si>
  <si>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</si>
  <si>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</si>
  <si>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</si>
  <si>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</si>
  <si>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</si>
  <si>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</si>
  <si>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</si>
  <si>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</si>
  <si>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</si>
  <si>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</si>
  <si>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</si>
  <si>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</si>
  <si>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</si>
  <si>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</si>
  <si>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</si>
  <si>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</si>
  <si>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</si>
  <si>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</si>
  <si>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</si>
  <si>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</si>
  <si>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</si>
  <si>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</si>
  <si>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</si>
  <si>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</si>
  <si>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</si>
  <si>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</si>
  <si>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</si>
  <si>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</si>
  <si>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</si>
  <si>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</si>
  <si>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</si>
  <si>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</si>
  <si>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</si>
  <si>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</si>
  <si>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</si>
  <si>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</si>
  <si>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</si>
  <si>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</si>
  <si>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</si>
  <si>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</si>
  <si>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</si>
  <si>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</si>
  <si>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</si>
  <si>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</si>
  <si>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</si>
  <si>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</si>
  <si>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</si>
  <si>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</si>
  <si>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</si>
  <si>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</si>
  <si>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</si>
  <si>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</si>
  <si>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</si>
  <si>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</si>
  <si>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</si>
  <si>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</si>
  <si>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</si>
  <si>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</si>
  <si>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</si>
  <si>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</si>
  <si>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</si>
  <si>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</si>
  <si>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</si>
  <si>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</si>
  <si>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</si>
  <si>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</si>
  <si>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</si>
  <si>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</si>
  <si>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</si>
  <si>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</si>
  <si>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</si>
  <si>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</si>
  <si>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</si>
  <si>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</si>
  <si>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</si>
  <si>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</si>
  <si>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</si>
  <si>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</si>
  <si>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</si>
  <si>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</si>
  <si>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</si>
  <si>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</si>
  <si>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</si>
  <si>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</si>
  <si>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</si>
  <si>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</si>
  <si>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</si>
  <si>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</si>
  <si>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</si>
  <si>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</si>
  <si>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</si>
  <si>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</si>
  <si>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</si>
  <si>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</si>
  <si>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</si>
  <si>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</si>
  <si>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</si>
  <si>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</si>
  <si>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</si>
  <si>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</si>
  <si>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</si>
  <si>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</si>
  <si>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</si>
  <si>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</si>
  <si>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</si>
  <si>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</si>
  <si>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</si>
  <si>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</si>
  <si>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</si>
  <si>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</si>
  <si>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</si>
  <si>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</si>
  <si>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</si>
  <si>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</si>
  <si>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</si>
  <si>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</si>
  <si>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</si>
  <si>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</si>
  <si>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</si>
  <si>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</si>
  <si>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</si>
  <si>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</si>
  <si>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</si>
  <si>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</si>
  <si>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</si>
  <si>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</si>
  <si>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</si>
  <si>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</si>
  <si>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</si>
  <si>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</si>
  <si>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</si>
  <si>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</si>
  <si>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</si>
  <si>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</si>
  <si>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</si>
  <si>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</si>
  <si>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</si>
  <si>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</si>
  <si>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</si>
  <si>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</si>
  <si>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</si>
  <si>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</si>
  <si>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</si>
  <si>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</si>
  <si>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</si>
  <si>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</si>
  <si>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</si>
  <si>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</si>
  <si>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</si>
  <si>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</si>
  <si>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</si>
  <si>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</si>
  <si>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</si>
  <si>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</si>
  <si>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</si>
  <si>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</si>
  <si>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</si>
  <si>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</si>
  <si>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</si>
  <si>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</si>
  <si>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</si>
  <si>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</si>
  <si>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</si>
  <si>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</si>
  <si>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</si>
  <si>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</si>
  <si>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</si>
  <si>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</si>
  <si>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</si>
  <si>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</si>
  <si>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</si>
  <si>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</si>
  <si>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</si>
  <si>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</si>
  <si>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</si>
  <si>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</si>
  <si>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</si>
  <si>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</si>
  <si>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</si>
  <si>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</si>
  <si>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</si>
  <si>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</si>
  <si>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</si>
  <si>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</si>
  <si>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</si>
  <si>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</si>
  <si>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</si>
  <si>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</si>
  <si>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</si>
  <si>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</si>
  <si>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</si>
  <si>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</si>
  <si>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</si>
  <si>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</si>
  <si>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</si>
  <si>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</si>
  <si>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</si>
  <si>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</si>
  <si>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</si>
  <si>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</si>
  <si>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</si>
  <si>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</si>
  <si>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</si>
  <si>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</si>
  <si>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</si>
  <si>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</si>
  <si>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</si>
  <si>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</si>
  <si>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</si>
  <si>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</si>
  <si>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</si>
  <si>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</si>
  <si>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</si>
  <si>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</si>
  <si>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</si>
  <si>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</si>
  <si>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</si>
  <si>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</si>
  <si>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</si>
  <si>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</si>
  <si>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</si>
  <si>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</si>
  <si>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</si>
  <si>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</si>
  <si>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</si>
  <si>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</si>
  <si>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</si>
  <si>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</si>
  <si>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</si>
  <si>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</si>
  <si>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</si>
  <si>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</si>
  <si>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</si>
  <si>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</si>
  <si>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</si>
  <si>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</si>
  <si>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</si>
  <si>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</si>
  <si>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</si>
  <si>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</si>
  <si>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</si>
  <si>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</si>
  <si>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</si>
  <si>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</si>
  <si>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</si>
  <si>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</si>
  <si>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</si>
  <si>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</si>
  <si>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</si>
  <si>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</si>
  <si>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</si>
  <si>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</si>
  <si>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</si>
  <si>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</si>
  <si>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</si>
  <si>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</si>
  <si>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</si>
  <si>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</si>
  <si>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</si>
  <si>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</si>
  <si>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</si>
  <si>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</si>
  <si>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</si>
  <si>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</si>
  <si>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</si>
  <si>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</si>
  <si>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</si>
  <si>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</si>
  <si>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</si>
  <si>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</si>
  <si>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</si>
  <si>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</si>
  <si>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</si>
  <si>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</si>
  <si>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</si>
  <si>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</si>
  <si>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</si>
  <si>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</si>
  <si>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</si>
  <si>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</si>
  <si>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</si>
  <si>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</si>
  <si>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</si>
  <si>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</si>
  <si>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</si>
  <si>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</si>
  <si>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</si>
  <si>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</si>
  <si>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</si>
  <si>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</si>
  <si>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</si>
  <si>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</si>
  <si>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</si>
  <si>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</si>
  <si>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</si>
  <si>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</si>
  <si>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</si>
  <si>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</si>
  <si>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</si>
  <si>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</si>
  <si>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</si>
  <si>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</si>
  <si>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</si>
  <si>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</si>
  <si>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</si>
  <si>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</si>
  <si>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</si>
  <si>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</si>
  <si>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</si>
  <si>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</si>
  <si>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</si>
  <si>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</si>
  <si>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</si>
  <si>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</si>
  <si>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</si>
  <si>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</si>
  <si>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</si>
  <si>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</si>
  <si>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</si>
  <si>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</si>
  <si>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</si>
  <si>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</si>
  <si>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</si>
  <si>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</si>
  <si>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</si>
  <si>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</si>
  <si>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</si>
  <si>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</si>
  <si>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</si>
  <si>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</si>
  <si>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</si>
  <si>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</si>
  <si>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</si>
  <si>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</si>
  <si>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</si>
  <si>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</si>
  <si>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</si>
  <si>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</si>
  <si>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</si>
  <si>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</si>
  <si>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</si>
  <si>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</si>
  <si>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</si>
  <si>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</si>
  <si>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</si>
  <si>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</si>
  <si>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</si>
  <si>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</si>
  <si>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</si>
  <si>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</si>
  <si>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</si>
  <si>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</si>
  <si>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</si>
  <si>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</si>
  <si>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</si>
  <si>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</si>
  <si>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</si>
  <si>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</si>
  <si>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</si>
  <si>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</si>
  <si>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</si>
  <si>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</si>
  <si>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</si>
  <si>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</si>
  <si>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</si>
  <si>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</si>
  <si>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</si>
  <si>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</si>
  <si>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</si>
  <si>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</si>
  <si>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</si>
  <si>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</si>
  <si>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</si>
  <si>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</si>
  <si>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</si>
  <si>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</si>
  <si>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</si>
  <si>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</si>
  <si>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</si>
  <si>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</si>
  <si>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</si>
  <si>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</si>
  <si>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</si>
  <si>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</si>
  <si>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</si>
  <si>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</si>
  <si>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</si>
  <si>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</si>
  <si>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</si>
  <si>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</si>
  <si>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</si>
  <si>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</si>
  <si>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</si>
  <si>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</si>
  <si>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</si>
  <si>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</si>
  <si>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</si>
  <si>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</si>
  <si>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</si>
  <si>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</si>
  <si>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</si>
  <si>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</si>
  <si>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</si>
  <si>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</si>
  <si>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</si>
  <si>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</si>
  <si>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</si>
  <si>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</si>
  <si>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</si>
  <si>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</si>
  <si>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</si>
  <si>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</si>
  <si>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</si>
  <si>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</si>
  <si>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</si>
  <si>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</si>
  <si>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</si>
  <si>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</si>
  <si>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</si>
  <si>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</si>
  <si>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</si>
  <si>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</si>
  <si>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</si>
  <si>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</si>
  <si>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</si>
  <si>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</si>
  <si>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</si>
  <si>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</si>
  <si>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</si>
  <si>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</si>
  <si>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</si>
  <si>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</si>
  <si>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</si>
  <si>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</si>
  <si>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</si>
  <si>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</si>
  <si>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</si>
  <si>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</si>
  <si>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</si>
  <si>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</si>
  <si>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</si>
  <si>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</si>
  <si>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</si>
  <si>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</si>
  <si>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</si>
  <si>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</si>
  <si>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</si>
  <si>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</si>
  <si>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</si>
  <si>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</si>
  <si>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</si>
  <si>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</si>
  <si>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</si>
  <si>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</si>
  <si>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</si>
  <si>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</si>
  <si>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</si>
  <si>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</si>
  <si>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</si>
  <si>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</si>
  <si>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</si>
  <si>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</si>
  <si>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</si>
  <si>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</si>
  <si>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</si>
  <si>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</si>
  <si>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</si>
  <si>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</si>
  <si>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</si>
  <si>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</si>
  <si>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</si>
  <si>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</si>
  <si>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</si>
  <si>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</si>
  <si>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</si>
  <si>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</si>
  <si>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</si>
  <si>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</si>
  <si>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</si>
  <si>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</si>
  <si>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</si>
  <si>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</si>
  <si>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</si>
  <si>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</si>
  <si>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</si>
  <si>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</si>
  <si>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</si>
  <si>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</si>
  <si>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</si>
  <si>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</si>
  <si>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</si>
  <si>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</si>
  <si>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</si>
  <si>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</si>
  <si>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</si>
  <si>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</si>
  <si>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</si>
  <si>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</si>
  <si>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</si>
  <si>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</si>
  <si>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</si>
  <si>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</si>
  <si>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</si>
  <si>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</si>
  <si>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</si>
  <si>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</si>
  <si>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</si>
  <si>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</si>
  <si>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</si>
  <si>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</si>
  <si>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</si>
  <si>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</si>
  <si>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</si>
  <si>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</si>
  <si>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</si>
  <si>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</si>
  <si>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</si>
  <si>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</si>
  <si>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</si>
  <si>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</si>
  <si>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</si>
  <si>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</si>
  <si>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</si>
  <si>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</si>
  <si>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</si>
  <si>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</si>
  <si>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</si>
  <si>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</si>
  <si>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</si>
  <si>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</si>
  <si>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</si>
  <si>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</si>
  <si>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</si>
  <si>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</si>
  <si>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</si>
  <si>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</si>
  <si>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</si>
  <si>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</si>
  <si>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</si>
  <si>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</si>
  <si>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</si>
  <si>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</si>
  <si>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</si>
  <si>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</si>
  <si>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</si>
  <si>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</si>
  <si>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</si>
  <si>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</si>
  <si>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</si>
  <si>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</si>
  <si>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</si>
  <si>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</si>
  <si>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</si>
  <si>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</si>
  <si>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</si>
  <si>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</si>
  <si>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</si>
  <si>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</si>
  <si>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</si>
  <si>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</si>
  <si>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</si>
  <si>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</si>
  <si>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</si>
  <si>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</si>
  <si>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</si>
  <si>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</si>
  <si>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</si>
  <si>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</si>
  <si>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</si>
  <si>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</si>
  <si>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</si>
  <si>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</si>
  <si>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</si>
  <si>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</si>
  <si>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</si>
  <si>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</si>
  <si>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</si>
  <si>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</si>
  <si>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</si>
  <si>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</si>
  <si>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</si>
  <si>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</si>
  <si>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</si>
  <si>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</si>
  <si>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</si>
  <si>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</si>
  <si>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</si>
  <si>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</si>
  <si>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</si>
  <si>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</si>
  <si>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</si>
  <si>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</si>
  <si>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</si>
  <si>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</si>
  <si>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</si>
  <si>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</si>
  <si>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</si>
  <si>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</si>
  <si>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</si>
  <si>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</si>
  <si>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</si>
  <si>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</si>
  <si>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</si>
  <si>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</si>
  <si>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</si>
  <si>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</si>
  <si>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</si>
  <si>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</si>
  <si>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</si>
  <si>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</si>
  <si>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</si>
  <si>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</si>
  <si>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</si>
  <si>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</si>
  <si>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</si>
  <si>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</si>
  <si>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</si>
  <si>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</si>
  <si>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</si>
  <si>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</si>
  <si>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</si>
  <si>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</si>
  <si>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</si>
  <si>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</si>
  <si>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</si>
  <si>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</si>
  <si>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</si>
  <si>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</si>
  <si>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</si>
  <si>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</si>
  <si>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</si>
  <si>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</si>
  <si>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</si>
  <si>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</si>
  <si>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</si>
  <si>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</si>
  <si>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</si>
  <si>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</si>
  <si>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</si>
  <si>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</si>
  <si>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</si>
  <si>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</si>
  <si>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</si>
  <si>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</si>
  <si>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</si>
  <si>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</si>
  <si>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</si>
  <si>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</si>
  <si>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</si>
  <si>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</si>
  <si>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</si>
  <si>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</si>
  <si>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</si>
  <si>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</si>
  <si>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</si>
  <si>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</si>
  <si>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</si>
  <si>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</si>
  <si>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</si>
  <si>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</si>
  <si>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</si>
  <si>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</si>
  <si>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</si>
  <si>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</si>
  <si>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</si>
  <si>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</si>
  <si>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</si>
  <si>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</si>
  <si>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</si>
  <si>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</si>
  <si>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</si>
  <si>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</si>
  <si>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</si>
  <si>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</si>
  <si>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</si>
  <si>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</si>
  <si>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</si>
  <si>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</si>
  <si>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</si>
  <si>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</si>
  <si>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</si>
  <si>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</si>
  <si>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</si>
  <si>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</si>
  <si>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</si>
  <si>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</si>
  <si>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</si>
  <si>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</si>
  <si>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</si>
  <si>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</si>
  <si>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</si>
  <si>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</si>
  <si>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</si>
  <si>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</si>
  <si>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</si>
  <si>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</si>
  <si>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</si>
  <si>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</si>
  <si>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</si>
  <si>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</si>
  <si>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</si>
  <si>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</si>
  <si>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</si>
  <si>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</si>
  <si>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</si>
  <si>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</si>
  <si>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</si>
  <si>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</si>
  <si>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</si>
  <si>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</si>
  <si>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</si>
  <si>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</si>
  <si>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</si>
  <si>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</si>
  <si>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</si>
  <si>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</si>
  <si>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</si>
  <si>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</si>
  <si>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</si>
  <si>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</si>
  <si>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</si>
  <si>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</si>
  <si>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</si>
  <si>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</si>
  <si>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</si>
  <si>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</si>
  <si>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</si>
  <si>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</si>
  <si>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</si>
  <si>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</si>
  <si>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</si>
  <si>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</si>
  <si>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</si>
  <si>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</si>
  <si>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</si>
  <si>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</si>
  <si>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</si>
  <si>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</si>
  <si>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</si>
  <si>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</si>
  <si>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</si>
  <si>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</si>
  <si>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</si>
  <si>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</si>
  <si>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</si>
  <si>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</si>
  <si>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</si>
  <si>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</si>
  <si>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</si>
  <si>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</si>
  <si>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</si>
  <si>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</si>
  <si>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</si>
  <si>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</si>
  <si>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</si>
  <si>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</si>
  <si>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</si>
  <si>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</si>
  <si>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</si>
  <si>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</si>
  <si>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</si>
  <si>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</si>
  <si>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</si>
  <si>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</si>
  <si>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</si>
  <si>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</si>
  <si>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</si>
  <si>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</si>
  <si>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</si>
  <si>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</si>
  <si>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</si>
  <si>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</si>
  <si>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</si>
  <si>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</si>
  <si>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</si>
  <si>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</si>
  <si>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</si>
  <si>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</si>
  <si>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</si>
  <si>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</si>
  <si>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</si>
  <si>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</si>
  <si>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</si>
  <si>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</si>
  <si>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</si>
  <si>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</si>
  <si>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</si>
  <si>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</si>
  <si>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</si>
  <si>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</si>
  <si>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</si>
  <si>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</si>
  <si>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</si>
  <si>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</si>
  <si>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</si>
  <si>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</si>
  <si>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</si>
  <si>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</si>
  <si>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</si>
  <si>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</si>
  <si>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</si>
  <si>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</si>
  <si>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</si>
  <si>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</si>
  <si>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</si>
  <si>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</si>
  <si>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</si>
  <si>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</si>
  <si>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</si>
  <si>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</si>
  <si>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</si>
  <si>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</si>
  <si>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</si>
  <si>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</si>
  <si>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</si>
  <si>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</si>
  <si>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</si>
  <si>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</si>
  <si>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</si>
  <si>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</si>
  <si>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</si>
  <si>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</si>
  <si>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</si>
  <si>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</si>
  <si>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</si>
  <si>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</si>
  <si>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</si>
  <si>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</si>
  <si>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</si>
  <si>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</si>
  <si>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</si>
  <si>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</si>
  <si>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</si>
  <si>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</si>
  <si>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</si>
  <si>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</si>
  <si>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</si>
  <si>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</si>
  <si>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</si>
  <si>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</si>
  <si>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</si>
  <si>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</si>
  <si>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</si>
  <si>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</si>
  <si>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</si>
  <si>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</si>
  <si>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</si>
  <si>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</si>
  <si>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</si>
  <si>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</si>
  <si>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</si>
  <si>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</si>
  <si>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</si>
  <si>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</si>
  <si>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</si>
  <si>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</si>
  <si>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</si>
  <si>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</si>
  <si>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</si>
  <si>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</si>
  <si>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</si>
  <si>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</si>
  <si>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</si>
  <si>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</si>
  <si>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</si>
  <si>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</si>
  <si>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</si>
  <si>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</si>
  <si>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</si>
  <si>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</si>
  <si>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</si>
  <si>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</si>
  <si>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</si>
  <si>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</si>
  <si>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</si>
  <si>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</si>
  <si>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</si>
  <si>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</si>
  <si>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</si>
  <si>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</si>
  <si>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</si>
  <si>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</si>
  <si>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</si>
  <si>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</si>
  <si>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</si>
  <si>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</si>
  <si>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</si>
  <si>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</si>
  <si>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</si>
  <si>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</si>
  <si>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</si>
  <si>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</si>
  <si>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</si>
  <si>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</si>
  <si>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</si>
  <si>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</si>
  <si>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</si>
  <si>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</si>
  <si>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</si>
  <si>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</si>
  <si>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</si>
  <si>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</si>
  <si>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</si>
  <si>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</si>
  <si>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</si>
  <si>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</si>
  <si>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</si>
  <si>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</si>
  <si>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</si>
  <si>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</si>
  <si>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</si>
  <si>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</si>
  <si>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</si>
  <si>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</si>
  <si>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</si>
  <si>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</si>
  <si>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</si>
  <si>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</si>
  <si>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</si>
  <si>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</si>
  <si>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</si>
  <si>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</si>
  <si>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</si>
  <si>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</si>
  <si>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</si>
  <si>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</si>
  <si>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</si>
  <si>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</si>
  <si>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</si>
  <si>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</si>
  <si>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</si>
  <si>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</si>
  <si>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</si>
  <si>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</si>
  <si>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</si>
  <si>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</si>
  <si>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</si>
  <si>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</si>
  <si>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</si>
  <si>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</si>
  <si>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</si>
  <si>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</si>
  <si>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</si>
  <si>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</si>
  <si>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</si>
  <si>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</si>
  <si>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</si>
  <si>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</si>
  <si>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</si>
  <si>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</si>
  <si>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</si>
  <si>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</si>
  <si>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</si>
  <si>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</si>
  <si>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</si>
  <si>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</si>
  <si>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</si>
  <si>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</si>
  <si>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</si>
  <si>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</si>
  <si>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</si>
  <si>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</si>
  <si>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</si>
  <si>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</si>
  <si>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</si>
  <si>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</si>
  <si>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</si>
  <si>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</si>
  <si>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</si>
  <si>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</si>
  <si>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</si>
  <si>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</si>
  <si>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</si>
  <si>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</si>
  <si>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</si>
  <si>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</si>
  <si>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</si>
  <si>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</si>
  <si>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</si>
  <si>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</si>
  <si>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</si>
  <si>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</si>
  <si>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</si>
  <si>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</si>
  <si>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</si>
  <si>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</si>
  <si>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</si>
  <si>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</si>
  <si>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</si>
  <si>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</si>
  <si>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</si>
  <si>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</si>
  <si>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</si>
  <si>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</si>
  <si>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</si>
  <si>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</si>
  <si>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</si>
  <si>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</si>
  <si>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</si>
  <si>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</si>
  <si>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</si>
  <si>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</si>
  <si>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</si>
  <si>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</si>
  <si>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</si>
  <si>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</si>
  <si>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</si>
  <si>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</si>
  <si>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</si>
  <si>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</si>
  <si>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</si>
  <si>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</si>
  <si>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</si>
  <si>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</si>
  <si>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</si>
  <si>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</si>
  <si>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</si>
  <si>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</si>
  <si>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</si>
  <si>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</si>
  <si>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</si>
  <si>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</si>
  <si>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</si>
  <si>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</si>
  <si>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</si>
  <si>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</si>
  <si>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</si>
  <si>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</si>
  <si>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</si>
  <si>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</si>
  <si>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</si>
  <si>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</si>
  <si>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</si>
  <si>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</si>
  <si>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</si>
  <si>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</si>
  <si>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</si>
  <si>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</si>
  <si>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</si>
  <si>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</si>
  <si>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</si>
  <si>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</si>
  <si>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</si>
  <si>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</si>
  <si>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</si>
  <si>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</si>
  <si>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</si>
  <si>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</si>
  <si>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</si>
  <si>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</si>
  <si>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</si>
  <si>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</si>
  <si>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</si>
  <si>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</si>
  <si>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</si>
  <si>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</si>
  <si>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</si>
  <si>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</si>
  <si>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</si>
  <si>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</si>
  <si>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</si>
  <si>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</si>
  <si>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</si>
  <si>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</si>
  <si>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</si>
  <si>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</si>
  <si>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</si>
  <si>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</si>
  <si>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</si>
  <si>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</si>
  <si>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</si>
  <si>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</si>
  <si>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</si>
  <si>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</si>
  <si>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</si>
  <si>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</si>
  <si>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</si>
  <si>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</si>
  <si>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</si>
  <si>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</si>
  <si>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</si>
  <si>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</si>
  <si>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</si>
  <si>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</si>
  <si>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</si>
  <si>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</si>
  <si>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</si>
  <si>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</si>
  <si>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</si>
  <si>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</si>
  <si>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</si>
  <si>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</si>
  <si>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</si>
  <si>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</si>
  <si>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</si>
  <si>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</si>
  <si>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</si>
  <si>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</si>
  <si>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</si>
  <si>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</si>
  <si>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</si>
  <si>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</si>
  <si>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</si>
  <si>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</si>
  <si>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</si>
  <si>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</si>
  <si>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</si>
  <si>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</si>
  <si>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</si>
  <si>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</si>
  <si>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</si>
  <si>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</si>
  <si>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</si>
  <si>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</si>
  <si>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</si>
  <si>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</si>
  <si>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</si>
  <si>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</si>
  <si>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</si>
  <si>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</si>
  <si>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</si>
  <si>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</si>
  <si>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</si>
  <si>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</si>
  <si>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</si>
  <si>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</si>
  <si>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</si>
  <si>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</si>
  <si>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</si>
  <si>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</si>
  <si>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</si>
  <si>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</si>
  <si>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</si>
  <si>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</si>
  <si>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</si>
  <si>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</si>
  <si>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</si>
  <si>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</si>
  <si>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</si>
  <si>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</si>
  <si>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</si>
  <si>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</si>
  <si>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</si>
  <si>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</si>
  <si>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</si>
  <si>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</si>
  <si>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</si>
  <si>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</si>
  <si>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</si>
  <si>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</si>
  <si>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</si>
  <si>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</si>
  <si>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</si>
  <si>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</si>
  <si>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</si>
  <si>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</si>
  <si>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</si>
  <si>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</si>
  <si>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</si>
  <si>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</si>
  <si>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</si>
  <si>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</si>
  <si>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</si>
  <si>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</si>
  <si>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</si>
  <si>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</si>
  <si>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</si>
  <si>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</si>
  <si>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</si>
  <si>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</si>
  <si>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</si>
  <si>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</si>
  <si>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</si>
  <si>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</si>
  <si>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</si>
  <si>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</si>
  <si>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</si>
  <si>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</si>
  <si>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</si>
  <si>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</si>
  <si>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</si>
  <si>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</si>
  <si>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</si>
  <si>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</si>
  <si>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</si>
  <si>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</si>
  <si>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</si>
  <si>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</si>
  <si>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</si>
  <si>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</si>
  <si>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</si>
  <si>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</si>
  <si>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</si>
  <si>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</si>
  <si>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</si>
  <si>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</si>
  <si>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</si>
  <si>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</si>
  <si>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</si>
  <si>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</si>
  <si>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</si>
  <si>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</si>
  <si>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</si>
  <si>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</si>
  <si>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</si>
  <si>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</si>
  <si>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</si>
  <si>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</si>
  <si>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</si>
  <si>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</si>
  <si>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</si>
  <si>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</si>
  <si>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</si>
  <si>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</si>
  <si>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</si>
  <si>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</si>
  <si>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</si>
  <si>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</si>
  <si>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</si>
  <si>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</si>
  <si>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</si>
  <si>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</si>
  <si>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</si>
  <si>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</si>
  <si>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</si>
  <si>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</si>
  <si>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</si>
  <si>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</si>
  <si>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</si>
  <si>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</si>
  <si>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</si>
  <si>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</si>
  <si>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</si>
  <si>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</si>
  <si>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</si>
  <si>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</si>
  <si>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</si>
  <si>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</si>
  <si>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</si>
  <si>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</si>
  <si>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</si>
  <si>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</si>
  <si>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</si>
  <si>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</si>
  <si>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</si>
  <si>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</si>
  <si>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</si>
  <si>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</si>
  <si>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</si>
  <si>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</si>
  <si>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</si>
  <si>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</si>
  <si>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</si>
  <si>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</si>
  <si>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</si>
  <si>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</si>
  <si>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</si>
  <si>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</si>
  <si>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</si>
  <si>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</si>
  <si>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</si>
  <si>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</si>
  <si>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</si>
  <si>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</si>
  <si>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</si>
  <si>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</si>
  <si>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</si>
  <si>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</si>
  <si>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</si>
  <si>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</si>
  <si>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</si>
  <si>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</si>
  <si>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</si>
  <si>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</si>
  <si>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</si>
  <si>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</si>
  <si>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</si>
  <si>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</si>
  <si>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</si>
  <si>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</si>
  <si>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</si>
  <si>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</si>
  <si>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</si>
  <si>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</si>
  <si>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</si>
  <si>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</si>
  <si>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</si>
  <si>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</si>
  <si>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</si>
  <si>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</si>
  <si>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</si>
  <si>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</si>
  <si>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</si>
  <si>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</si>
  <si>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</si>
  <si>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</si>
  <si>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</si>
  <si>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</si>
  <si>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</si>
  <si>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</si>
  <si>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</si>
  <si>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</si>
  <si>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</si>
  <si>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</si>
  <si>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</si>
  <si>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</si>
  <si>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</si>
  <si>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</si>
  <si>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</si>
  <si>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</si>
  <si>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</si>
  <si>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</si>
  <si>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</si>
  <si>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</si>
  <si>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</si>
  <si>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</si>
  <si>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</si>
  <si>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</si>
  <si>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</si>
  <si>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</si>
  <si>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</si>
  <si>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</si>
  <si>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</si>
  <si>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</si>
  <si>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</si>
  <si>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</si>
  <si>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</si>
  <si>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</si>
  <si>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</si>
  <si>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</si>
  <si>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</si>
  <si>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</si>
  <si>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</si>
  <si>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</si>
  <si>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</si>
  <si>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</si>
  <si>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</si>
  <si>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</si>
  <si>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</si>
  <si>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</si>
  <si>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</si>
  <si>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</si>
  <si>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</si>
  <si>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</si>
  <si>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</si>
  <si>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</si>
  <si>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</si>
  <si>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</si>
  <si>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</si>
  <si>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</si>
  <si>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</si>
  <si>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</si>
  <si>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</si>
  <si>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</si>
  <si>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</si>
  <si>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</si>
  <si>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</si>
  <si>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</si>
  <si>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</si>
  <si>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</si>
  <si>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</si>
  <si>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</si>
  <si>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</si>
  <si>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</si>
  <si>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</si>
  <si>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</si>
  <si>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</si>
  <si>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</si>
  <si>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</si>
  <si>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</si>
  <si>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</si>
  <si>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</si>
  <si>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</si>
  <si>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</si>
  <si>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</si>
  <si>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</si>
  <si>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</si>
  <si>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</si>
  <si>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</si>
  <si>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</si>
  <si>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</si>
  <si>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</si>
  <si>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</si>
  <si>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</si>
  <si>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</si>
  <si>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</si>
  <si>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</si>
  <si>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</si>
  <si>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</si>
  <si>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</si>
  <si>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</si>
  <si>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</si>
  <si>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</si>
  <si>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</si>
  <si>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</si>
  <si>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</si>
  <si>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</si>
  <si>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</si>
  <si>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</si>
  <si>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</si>
  <si>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</si>
  <si>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</si>
  <si>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</si>
  <si>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</si>
  <si>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</si>
  <si>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</si>
  <si>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</si>
  <si>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</si>
  <si>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</si>
  <si>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</si>
  <si>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</si>
  <si>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</si>
  <si>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</si>
  <si>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</si>
  <si>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</si>
  <si>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</si>
  <si>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</si>
  <si>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</si>
  <si>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</si>
  <si>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</si>
  <si>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</si>
  <si>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</si>
  <si>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</si>
  <si>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</si>
  <si>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</si>
  <si>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</si>
  <si>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</si>
  <si>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</si>
  <si>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</si>
  <si>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</si>
  <si>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</si>
  <si>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</si>
  <si>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</si>
  <si>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</si>
  <si>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</si>
  <si>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</si>
  <si>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</si>
  <si>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</si>
  <si>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</si>
  <si>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</si>
  <si>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</si>
  <si>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</si>
  <si>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</si>
  <si>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</si>
  <si>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</si>
  <si>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</si>
  <si>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</si>
  <si>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</si>
  <si>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</si>
  <si>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</si>
  <si>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</si>
  <si>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</si>
  <si>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</si>
  <si>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</si>
  <si>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</si>
  <si>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</si>
  <si>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</si>
  <si>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</si>
  <si>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</si>
  <si>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</si>
  <si>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</si>
  <si>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</si>
  <si>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</si>
  <si>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</si>
  <si>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</si>
  <si>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</si>
  <si>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</si>
  <si>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</si>
  <si>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</si>
  <si>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</si>
  <si>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</si>
  <si>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</si>
  <si>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</si>
  <si>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</si>
  <si>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</si>
  <si>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</si>
  <si>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</si>
  <si>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</si>
  <si>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</si>
  <si>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</si>
  <si>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</si>
  <si>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</si>
  <si>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</si>
  <si>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</si>
  <si>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</si>
  <si>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</si>
  <si>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</si>
  <si>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</si>
  <si>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</si>
  <si>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</si>
  <si>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</si>
  <si>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</si>
  <si>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</si>
  <si>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</si>
  <si>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</si>
  <si>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</si>
  <si>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</si>
  <si>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</si>
  <si>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</si>
  <si>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</si>
  <si>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</si>
  <si>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</si>
  <si>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</si>
  <si>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</si>
  <si>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</si>
  <si>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</si>
  <si>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</si>
  <si>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</si>
  <si>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</si>
  <si>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</si>
  <si>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</si>
  <si>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</si>
  <si>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</si>
  <si>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</si>
  <si>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</si>
  <si>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</si>
  <si>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</si>
  <si>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</si>
  <si>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</si>
  <si>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</si>
  <si>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</si>
  <si>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</si>
  <si>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</si>
  <si>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</si>
  <si>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</si>
  <si>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</si>
  <si>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</si>
  <si>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</si>
  <si>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</si>
  <si>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</si>
  <si>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</si>
  <si>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</si>
  <si>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</si>
  <si>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</si>
  <si>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</si>
  <si>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</si>
  <si>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</si>
  <si>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</si>
  <si>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</si>
  <si>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</si>
  <si>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</si>
  <si>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</si>
  <si>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</si>
  <si>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</si>
  <si>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</si>
  <si>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</si>
  <si>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</si>
  <si>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</si>
  <si>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</si>
  <si>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</si>
  <si>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</si>
  <si>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</si>
  <si>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</si>
  <si>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</si>
  <si>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</si>
  <si>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</si>
  <si>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</si>
  <si>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</si>
  <si>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</si>
  <si>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</si>
  <si>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</si>
  <si>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</si>
  <si>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</si>
  <si>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</si>
  <si>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</si>
  <si>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</si>
  <si>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</si>
  <si>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</si>
  <si>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</si>
  <si>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</si>
  <si>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</si>
  <si>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</si>
  <si>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</si>
  <si>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</si>
  <si>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</si>
  <si>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</si>
  <si>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</si>
  <si>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</si>
  <si>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</si>
  <si>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</si>
  <si>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</si>
  <si>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</si>
  <si>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</si>
  <si>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</si>
  <si>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</si>
  <si>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</si>
  <si>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</si>
  <si>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</si>
  <si>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</si>
  <si>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</si>
  <si>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</si>
  <si>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</si>
  <si>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</si>
  <si>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</si>
  <si>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</si>
  <si>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</si>
  <si>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</si>
  <si>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</si>
  <si>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</si>
  <si>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</si>
  <si>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</si>
  <si>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</si>
  <si>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</si>
  <si>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</si>
  <si>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</si>
  <si>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</si>
  <si>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</si>
  <si>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</si>
  <si>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</si>
  <si>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</si>
  <si>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</si>
  <si>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</si>
  <si>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</si>
  <si>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</si>
  <si>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</si>
  <si>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</si>
  <si>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</si>
  <si>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</si>
  <si>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</si>
  <si>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</si>
  <si>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</si>
  <si>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</si>
  <si>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</si>
  <si>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</si>
  <si>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</si>
  <si>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</si>
  <si>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</si>
  <si>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</si>
  <si>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</si>
  <si>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</si>
  <si>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</si>
  <si>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</si>
  <si>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</si>
  <si>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</si>
  <si>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</si>
  <si>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</si>
  <si>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</si>
  <si>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</si>
  <si>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</si>
  <si>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</si>
  <si>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</si>
  <si>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</si>
  <si>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</si>
  <si>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</si>
  <si>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</si>
  <si>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</si>
  <si>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</si>
  <si>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</si>
  <si>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</si>
  <si>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</si>
  <si>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</si>
  <si>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</si>
  <si>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</si>
  <si>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</si>
  <si>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</si>
  <si>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</si>
  <si>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</si>
  <si>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</si>
  <si>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</si>
  <si>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</si>
  <si>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</si>
  <si>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</si>
  <si>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</si>
  <si>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</si>
  <si>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</si>
  <si>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</si>
  <si>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</si>
  <si>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</si>
  <si>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</si>
  <si>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</si>
  <si>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</si>
  <si>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</si>
  <si>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</si>
  <si>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</si>
  <si>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</si>
  <si>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</si>
  <si>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</si>
  <si>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</si>
  <si>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</si>
  <si>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</si>
  <si>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</si>
  <si>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</si>
  <si>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</si>
  <si>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</si>
  <si>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</si>
  <si>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</si>
  <si>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</si>
  <si>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</si>
  <si>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</si>
  <si>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</si>
  <si>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</si>
  <si>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</si>
  <si>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</si>
  <si>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</si>
  <si>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</si>
  <si>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</si>
  <si>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</si>
  <si>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</si>
  <si>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</si>
  <si>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</si>
  <si>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</si>
  <si>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</si>
  <si>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</si>
  <si>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</si>
  <si>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</si>
  <si>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</si>
  <si>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</si>
  <si>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</si>
  <si>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</si>
  <si>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</si>
  <si>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</si>
  <si>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</si>
  <si>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</si>
  <si>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</si>
  <si>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</si>
  <si>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</si>
  <si>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</si>
  <si>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</si>
  <si>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</si>
  <si>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</si>
  <si>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</si>
  <si>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</si>
  <si>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</si>
  <si>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</si>
  <si>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</si>
  <si>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</si>
  <si>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</si>
  <si>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</si>
  <si>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</si>
  <si>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</si>
  <si>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</si>
  <si>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</si>
  <si>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</si>
  <si>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</si>
  <si>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</si>
  <si>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</si>
  <si>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</si>
  <si>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</si>
  <si>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</si>
  <si>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</si>
  <si>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</si>
  <si>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</si>
  <si>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</si>
  <si>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</si>
  <si>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</si>
  <si>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</si>
  <si>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</si>
  <si>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</si>
  <si>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</si>
  <si>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</si>
  <si>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</si>
  <si>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</si>
  <si>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</si>
  <si>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</si>
  <si>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</si>
  <si>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</si>
  <si>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</si>
  <si>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</si>
  <si>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</si>
  <si>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</si>
  <si>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</si>
  <si>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</si>
  <si>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</si>
  <si>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</si>
  <si>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</si>
  <si>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</si>
  <si>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</si>
  <si>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</si>
  <si>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</si>
  <si>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</si>
  <si>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</si>
  <si>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</si>
  <si>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</si>
  <si>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</si>
  <si>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</si>
  <si>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</si>
  <si>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</si>
  <si>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</si>
  <si>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</si>
  <si>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</si>
  <si>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</si>
  <si>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</si>
  <si>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</si>
  <si>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</si>
  <si>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</si>
  <si>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</si>
  <si>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</si>
  <si>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</si>
  <si>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</si>
  <si>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</si>
  <si>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</si>
  <si>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</si>
  <si>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</si>
  <si>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</si>
  <si>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</si>
  <si>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</si>
  <si>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</si>
  <si>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</si>
  <si>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</si>
  <si>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</si>
  <si>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</si>
  <si>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</si>
  <si>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</si>
  <si>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</si>
  <si>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</si>
  <si>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</si>
  <si>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</si>
  <si>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</si>
  <si>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</si>
  <si>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</si>
  <si>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</si>
  <si>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</si>
  <si>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</si>
  <si>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</si>
  <si>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</si>
  <si>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</si>
  <si>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</si>
  <si>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</si>
  <si>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</si>
  <si>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</si>
  <si>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</si>
  <si>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</si>
  <si>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</si>
  <si>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</si>
  <si>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</si>
  <si>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</si>
  <si>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</si>
  <si>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</si>
  <si>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</si>
  <si>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</si>
  <si>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</si>
  <si>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</si>
  <si>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</si>
  <si>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</si>
  <si>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</si>
  <si>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</si>
  <si>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</si>
  <si>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</si>
  <si>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</si>
  <si>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</si>
  <si>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</si>
  <si>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</si>
  <si>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</si>
  <si>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</si>
  <si>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</si>
  <si>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</si>
  <si>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</si>
  <si>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</si>
  <si>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</si>
  <si>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</si>
  <si>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</si>
  <si>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</si>
  <si>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</si>
  <si>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</si>
  <si>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</si>
  <si>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</si>
  <si>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</si>
  <si>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</si>
  <si>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</si>
  <si>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</si>
  <si>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</si>
  <si>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</si>
  <si>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</si>
  <si>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</si>
  <si>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</si>
  <si>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</si>
  <si>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</si>
  <si>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</si>
  <si>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</si>
  <si>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</si>
  <si>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</si>
  <si>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</si>
  <si>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</si>
  <si>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</si>
  <si>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</si>
  <si>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</si>
  <si>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</si>
  <si>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</si>
  <si>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</si>
  <si>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</si>
  <si>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</si>
  <si>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</si>
  <si>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</si>
  <si>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</si>
  <si>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</si>
  <si>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</si>
  <si>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</si>
  <si>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</si>
  <si>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</si>
  <si>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</si>
  <si>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</si>
  <si>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</si>
  <si>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</si>
  <si>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</si>
  <si>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</si>
  <si>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</si>
  <si>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</si>
  <si>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</si>
  <si>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</si>
  <si>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</si>
  <si>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</si>
  <si>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</si>
  <si>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</si>
  <si>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</si>
  <si>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</si>
  <si>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</si>
  <si>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</si>
  <si>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</si>
  <si>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</si>
  <si>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</si>
  <si>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</si>
  <si>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</si>
  <si>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</si>
  <si>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</si>
  <si>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</si>
  <si>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</si>
  <si>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</si>
  <si>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</si>
  <si>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</si>
  <si>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</si>
  <si>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</si>
  <si>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</si>
  <si>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</si>
  <si>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</si>
  <si>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</si>
  <si>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</si>
  <si>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</si>
  <si>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</si>
  <si>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</si>
  <si>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</si>
  <si>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</si>
  <si>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</si>
  <si>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</si>
  <si>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</si>
  <si>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</si>
  <si>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</si>
  <si>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</si>
  <si>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</si>
  <si>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</si>
  <si>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</si>
  <si>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</si>
  <si>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</si>
  <si>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</si>
  <si>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</si>
  <si>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</si>
  <si>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</si>
  <si>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</si>
  <si>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</si>
  <si>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</si>
  <si>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</si>
  <si>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</si>
  <si>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</si>
  <si>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</si>
  <si>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</si>
  <si>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</si>
  <si>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</si>
  <si>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</si>
  <si>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</si>
  <si>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</si>
  <si>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</si>
  <si>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</si>
  <si>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</si>
  <si>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</si>
  <si>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</si>
  <si>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</si>
  <si>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</si>
  <si>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</si>
  <si>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</si>
  <si>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</si>
  <si>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</si>
  <si>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</si>
  <si>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</si>
  <si>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</si>
  <si>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</si>
  <si>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</si>
  <si>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</si>
  <si>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</si>
  <si>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</si>
  <si>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</si>
  <si>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</si>
  <si>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</si>
  <si>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</si>
  <si>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</si>
  <si>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</si>
  <si>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</si>
  <si>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</si>
  <si>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</si>
  <si>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</si>
  <si>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</si>
  <si>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</si>
  <si>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</si>
  <si>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</si>
  <si>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</si>
  <si>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</si>
  <si>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</si>
  <si>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</si>
  <si>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</si>
  <si>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</si>
  <si>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</si>
  <si>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</si>
  <si>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</si>
  <si>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</si>
  <si>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</si>
  <si>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</si>
  <si>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</si>
  <si>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</si>
  <si>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</si>
  <si>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</si>
  <si>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</si>
  <si>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</si>
  <si>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</si>
  <si>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</si>
  <si>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</si>
  <si>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</si>
  <si>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</si>
  <si>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</si>
  <si>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</si>
  <si>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</si>
  <si>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</si>
  <si>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</si>
  <si>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</si>
  <si>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</si>
  <si>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</si>
  <si>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</si>
  <si>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</si>
  <si>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</si>
  <si>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</si>
  <si>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</si>
  <si>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</si>
  <si>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</si>
  <si>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</si>
  <si>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</si>
  <si>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</si>
  <si>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</si>
  <si>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</si>
  <si>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</si>
  <si>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</si>
  <si>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</si>
  <si>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</si>
  <si>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</si>
  <si>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</si>
  <si>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</si>
  <si>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</si>
  <si>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</si>
  <si>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</si>
  <si>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</si>
  <si>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</si>
  <si>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</si>
  <si>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</si>
  <si>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</si>
  <si>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</si>
  <si>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</si>
  <si>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</si>
  <si>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</si>
  <si>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</si>
  <si>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</si>
  <si>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</si>
  <si>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</si>
  <si>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</si>
  <si>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</si>
  <si>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</si>
  <si>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</si>
  <si>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</si>
  <si>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</si>
  <si>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</si>
  <si>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</si>
  <si>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</si>
  <si>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</si>
  <si>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</si>
  <si>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</si>
  <si>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</si>
  <si>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</si>
  <si>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</si>
  <si>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</si>
  <si>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</si>
  <si>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</si>
  <si>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</si>
  <si>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</si>
  <si>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</si>
  <si>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</si>
  <si>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</si>
  <si>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</si>
  <si>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</si>
  <si>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</si>
  <si>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</si>
  <si>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</si>
  <si>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</si>
  <si>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</si>
  <si>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</si>
  <si>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</si>
  <si>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</si>
  <si>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</si>
  <si>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</si>
  <si>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</si>
  <si>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</si>
  <si>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</si>
  <si>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</si>
  <si>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</si>
  <si>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</si>
  <si>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</si>
  <si>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</si>
  <si>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</si>
  <si>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</si>
  <si>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</si>
  <si>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</si>
  <si>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</si>
  <si>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</si>
  <si>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</si>
  <si>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</si>
  <si>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</si>
  <si>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</si>
  <si>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</si>
  <si>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</si>
  <si>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</si>
  <si>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</si>
  <si>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</si>
  <si>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</si>
  <si>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</si>
  <si>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</si>
  <si>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</si>
  <si>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</si>
  <si>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</si>
  <si>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</si>
  <si>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</si>
  <si>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</si>
  <si>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</si>
  <si>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</si>
  <si>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</si>
  <si>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</si>
  <si>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</si>
  <si>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</si>
  <si>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</si>
  <si>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</si>
  <si>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</si>
  <si>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</si>
  <si>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</si>
  <si>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</si>
  <si>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</si>
  <si>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</si>
  <si>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</si>
  <si>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</si>
  <si>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</si>
  <si>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</si>
  <si>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</si>
  <si>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</si>
  <si>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</si>
  <si>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</si>
  <si>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</si>
  <si>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</si>
  <si>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</si>
  <si>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</si>
  <si>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</si>
  <si>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</si>
  <si>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</si>
  <si>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</si>
  <si>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</si>
  <si>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</si>
  <si>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</si>
  <si>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</si>
  <si>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</si>
  <si>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</si>
  <si>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</si>
  <si>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</si>
  <si>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</si>
  <si>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</si>
  <si>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</si>
  <si>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</si>
  <si>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</si>
  <si>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</si>
  <si>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</si>
  <si>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</si>
  <si>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</si>
  <si>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</si>
  <si>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</si>
  <si>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</si>
  <si>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</si>
  <si>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</si>
  <si>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</si>
  <si>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</si>
  <si>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</si>
  <si>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</si>
  <si>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</si>
  <si>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</si>
  <si>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</si>
  <si>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</si>
  <si>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</si>
  <si>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</si>
  <si>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</si>
  <si>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</si>
  <si>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</si>
  <si>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</si>
  <si>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</si>
  <si>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</si>
  <si>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</si>
  <si>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</si>
  <si>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</si>
  <si>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</si>
  <si>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</si>
  <si>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</si>
  <si>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</si>
  <si>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</si>
  <si>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</si>
  <si>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</si>
  <si>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</si>
  <si>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</si>
  <si>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</si>
  <si>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</si>
  <si>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</si>
  <si>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</si>
  <si>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</si>
  <si>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</si>
  <si>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</si>
  <si>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</si>
  <si>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</si>
  <si>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</si>
  <si>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</si>
  <si>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</si>
  <si>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</si>
  <si>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</si>
  <si>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</si>
  <si>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</si>
  <si>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</si>
  <si>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</si>
  <si>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</si>
  <si>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</si>
  <si>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</si>
  <si>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</si>
  <si>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</si>
  <si>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</si>
  <si>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</si>
  <si>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</si>
  <si>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</si>
  <si>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</si>
  <si>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</si>
  <si>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</si>
  <si>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</si>
  <si>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</si>
  <si>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</si>
  <si>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</si>
  <si>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</si>
  <si>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</si>
  <si>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</si>
  <si>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</si>
  <si>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</si>
  <si>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</si>
  <si>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</si>
  <si>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</si>
  <si>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</si>
  <si>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</si>
  <si>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</si>
  <si>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</si>
  <si>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</si>
  <si>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</si>
  <si>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</si>
  <si>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</si>
  <si>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</si>
  <si>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</si>
  <si>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</si>
  <si>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</si>
  <si>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</si>
  <si>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</si>
  <si>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</si>
  <si>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</si>
  <si>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</si>
  <si>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</si>
  <si>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</si>
  <si>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</si>
  <si>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</si>
  <si>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</si>
  <si>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</si>
  <si>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</si>
  <si>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</si>
  <si>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</si>
  <si>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</si>
  <si>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</si>
  <si>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</si>
  <si>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</si>
  <si>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</si>
  <si>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</si>
  <si>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</si>
  <si>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</si>
  <si>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</si>
  <si>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</si>
  <si>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</si>
  <si>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</si>
  <si>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</si>
  <si>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</si>
  <si>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</si>
  <si>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</si>
  <si>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</si>
  <si>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</si>
  <si>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</si>
  <si>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</si>
  <si>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</si>
  <si>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</si>
  <si>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</si>
  <si>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</si>
  <si>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</si>
  <si>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</si>
  <si>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</si>
  <si>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</si>
  <si>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</si>
  <si>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</si>
  <si>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</si>
  <si>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</si>
  <si>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</si>
  <si>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</si>
  <si>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</si>
  <si>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</si>
  <si>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</si>
  <si>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</si>
  <si>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</si>
  <si>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</si>
  <si>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</si>
  <si>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</si>
  <si>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</si>
  <si>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</si>
  <si>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</si>
  <si>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</si>
  <si>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</si>
  <si>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</si>
  <si>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</si>
  <si>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</si>
  <si>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</si>
  <si>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</si>
  <si>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</si>
  <si>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</si>
  <si>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</si>
  <si>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</si>
  <si>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</si>
  <si>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</si>
  <si>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</si>
  <si>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</si>
  <si>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</si>
  <si>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</si>
  <si>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</si>
  <si>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</si>
  <si>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</si>
  <si>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</si>
  <si>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</si>
  <si>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</si>
  <si>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</si>
  <si>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</si>
  <si>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</si>
  <si>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</si>
  <si>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</si>
  <si>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</si>
  <si>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</si>
  <si>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</si>
  <si>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</si>
  <si>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</si>
  <si>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</si>
  <si>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</si>
  <si>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</si>
  <si>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</si>
  <si>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</si>
  <si>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</si>
  <si>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</si>
  <si>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</si>
  <si>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</si>
  <si>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</si>
  <si>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</si>
  <si>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</si>
  <si>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</si>
  <si>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</si>
  <si>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</si>
  <si>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</si>
  <si>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</si>
  <si>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</si>
  <si>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</si>
  <si>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</si>
  <si>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</si>
  <si>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</si>
  <si>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</si>
  <si>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</si>
  <si>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</si>
  <si>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</si>
  <si>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</si>
  <si>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</si>
  <si>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</si>
  <si>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</si>
  <si>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</si>
  <si>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</si>
  <si>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</si>
  <si>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</si>
  <si>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</si>
  <si>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</si>
  <si>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</si>
  <si>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</si>
  <si>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</si>
  <si>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</si>
  <si>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</si>
  <si>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</si>
  <si>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</si>
  <si>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</si>
  <si>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</si>
  <si>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</si>
  <si>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</si>
  <si>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</si>
  <si>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</si>
  <si>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</si>
  <si>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</si>
  <si>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</si>
  <si>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</si>
  <si>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</si>
  <si>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</si>
  <si>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</si>
  <si>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</si>
  <si>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</si>
  <si>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</si>
  <si>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</si>
  <si>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</si>
  <si>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</si>
  <si>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</si>
  <si>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</si>
  <si>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</si>
  <si>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</si>
  <si>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</si>
  <si>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</si>
  <si>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</si>
  <si>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</si>
  <si>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</si>
  <si>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</si>
  <si>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</si>
  <si>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</si>
  <si>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</si>
  <si>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</si>
  <si>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</si>
  <si>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</si>
  <si>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</si>
  <si>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</si>
  <si>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</si>
  <si>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</si>
  <si>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</si>
  <si>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</si>
  <si>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</si>
  <si>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</si>
  <si>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</si>
  <si>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</si>
  <si>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</si>
  <si>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</si>
  <si>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</si>
  <si>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</si>
  <si>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</si>
  <si>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</si>
  <si>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</si>
  <si>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</si>
  <si>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</si>
  <si>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</si>
  <si>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</si>
  <si>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</si>
  <si>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</si>
  <si>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</si>
  <si>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</si>
  <si>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</si>
  <si>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</si>
  <si>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</si>
  <si>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</si>
  <si>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</si>
  <si>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</si>
  <si>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</si>
  <si>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</si>
  <si>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</si>
  <si>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</si>
  <si>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</si>
  <si>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</si>
  <si>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</si>
  <si>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</si>
  <si>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</si>
  <si>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</si>
  <si>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</si>
  <si>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</si>
  <si>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</si>
  <si>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</si>
  <si>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</si>
  <si>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</si>
  <si>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</si>
  <si>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</si>
  <si>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</si>
  <si>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</si>
  <si>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</si>
  <si>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</si>
  <si>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</si>
  <si>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</si>
  <si>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</si>
  <si>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</si>
  <si>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</si>
  <si>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</si>
  <si>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</si>
  <si>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</si>
  <si>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</si>
  <si>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</si>
  <si>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</si>
  <si>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</si>
  <si>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</si>
  <si>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</si>
  <si>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</si>
  <si>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</si>
  <si>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</si>
  <si>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</si>
  <si>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</si>
  <si>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</si>
  <si>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</si>
  <si>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</si>
  <si>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</si>
  <si>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</si>
  <si>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</si>
  <si>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</si>
  <si>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</si>
  <si>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</si>
  <si>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</si>
  <si>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</si>
  <si>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</si>
  <si>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</si>
  <si>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</si>
  <si>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</si>
  <si>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</si>
  <si>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</si>
  <si>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</si>
  <si>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</si>
  <si>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</si>
  <si>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</si>
  <si>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</si>
  <si>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</si>
  <si>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</si>
  <si>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</si>
  <si>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</si>
  <si>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</si>
  <si>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</si>
  <si>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</si>
  <si>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</si>
  <si>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</si>
  <si>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</si>
  <si>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</si>
  <si>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</si>
  <si>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</si>
  <si>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</si>
  <si>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</si>
  <si>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</si>
  <si>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</si>
  <si>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</si>
  <si>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</si>
  <si>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</si>
  <si>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</si>
  <si>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</si>
  <si>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</si>
  <si>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</si>
  <si>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</si>
  <si>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</si>
  <si>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</si>
  <si>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</si>
  <si>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</si>
  <si>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</si>
  <si>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</si>
  <si>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</si>
  <si>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</si>
  <si>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</si>
  <si>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</si>
  <si>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</si>
  <si>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</si>
  <si>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</si>
  <si>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</si>
  <si>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</si>
  <si>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</si>
  <si>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</si>
  <si>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</si>
  <si>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</si>
  <si>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</si>
  <si>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</si>
  <si>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</si>
  <si>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</si>
  <si>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</si>
  <si>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</si>
  <si>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</si>
  <si>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</si>
  <si>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</si>
  <si>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</si>
  <si>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</si>
  <si>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</si>
  <si>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</si>
  <si>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</si>
  <si>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</si>
  <si>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</si>
  <si>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</si>
  <si>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</si>
  <si>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</si>
  <si>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</si>
  <si>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</si>
  <si>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</si>
  <si>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</si>
  <si>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</si>
  <si>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</si>
  <si>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</si>
  <si>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</si>
  <si>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</si>
  <si>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</si>
  <si>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</si>
  <si>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</si>
  <si>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</si>
  <si>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</si>
  <si>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</si>
  <si>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</si>
  <si>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</si>
  <si>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</si>
  <si>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</si>
  <si>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</si>
  <si>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</si>
  <si>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</si>
  <si>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</si>
  <si>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</si>
  <si>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</si>
  <si>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</si>
  <si>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</si>
  <si>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</si>
  <si>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</si>
  <si>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</si>
  <si>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</si>
  <si>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</si>
  <si>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</si>
  <si>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</si>
  <si>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</si>
  <si>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</si>
  <si>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</si>
  <si>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</si>
  <si>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</si>
  <si>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</si>
  <si>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</si>
  <si>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</si>
  <si>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</si>
  <si>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</si>
  <si>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</si>
  <si>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</si>
  <si>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</si>
  <si>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</si>
  <si>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</si>
  <si>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</si>
  <si>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</si>
  <si>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</si>
  <si>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</si>
  <si>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</si>
  <si>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</si>
  <si>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</si>
  <si>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</si>
  <si>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</si>
  <si>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</si>
  <si>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</si>
  <si>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</si>
  <si>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</si>
  <si>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</si>
  <si>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</si>
  <si>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</si>
  <si>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</si>
  <si>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</si>
  <si>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</si>
  <si>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</si>
  <si>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</si>
  <si>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</si>
  <si>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</si>
  <si>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</si>
  <si>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</si>
  <si>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</si>
  <si>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</si>
  <si>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</si>
  <si>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</si>
  <si>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</si>
  <si>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</si>
  <si>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</si>
  <si>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</si>
  <si>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</si>
  <si>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</si>
  <si>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</si>
  <si>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</si>
  <si>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</si>
  <si>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</si>
  <si>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</si>
  <si>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</si>
  <si>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</si>
  <si>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</si>
  <si>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</si>
  <si>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</si>
  <si>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</si>
  <si>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</si>
  <si>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</si>
  <si>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</si>
  <si>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</si>
  <si>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</si>
  <si>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</si>
  <si>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</si>
  <si>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</si>
  <si>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</si>
  <si>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</si>
  <si>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</si>
  <si>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</si>
  <si>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</si>
  <si>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</si>
  <si>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</si>
  <si>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</si>
  <si>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</si>
  <si>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</si>
  <si>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</si>
  <si>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</si>
  <si>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</si>
  <si>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</si>
  <si>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</si>
  <si>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</si>
  <si>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</si>
  <si>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</si>
  <si>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</si>
  <si>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</si>
  <si>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</si>
  <si>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</si>
  <si>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</si>
  <si>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</si>
  <si>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</si>
  <si>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</si>
  <si>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</si>
  <si>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</si>
  <si>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</si>
  <si>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</si>
  <si>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</si>
  <si>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</si>
  <si>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</si>
  <si>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</si>
  <si>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</si>
  <si>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</si>
  <si>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</si>
  <si>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</si>
  <si>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</si>
  <si>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</si>
  <si>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</si>
  <si>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</si>
  <si>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</si>
  <si>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</si>
  <si>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</si>
  <si>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</si>
  <si>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</si>
  <si>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</si>
  <si>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</si>
  <si>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</si>
  <si>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</si>
  <si>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</si>
  <si>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</si>
  <si>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</si>
  <si>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</si>
  <si>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</si>
  <si>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</si>
  <si>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</si>
  <si>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</si>
  <si>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</si>
  <si>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</si>
  <si>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</si>
  <si>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</si>
  <si>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</si>
  <si>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</si>
  <si>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</si>
  <si>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</si>
  <si>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</si>
  <si>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</si>
  <si>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</si>
  <si>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</si>
  <si>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</si>
  <si>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</si>
  <si>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</si>
  <si>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</si>
  <si>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</si>
  <si>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</si>
  <si>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</si>
  <si>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</si>
  <si>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</si>
  <si>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</si>
  <si>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</si>
  <si>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</si>
  <si>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</si>
  <si>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</si>
  <si>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</si>
  <si>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</si>
  <si>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</si>
  <si>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</si>
  <si>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</si>
  <si>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</si>
  <si>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</si>
  <si>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</si>
  <si>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</si>
  <si>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</si>
  <si>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</si>
  <si>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</si>
  <si>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</si>
  <si>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</si>
  <si>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</si>
  <si>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</si>
  <si>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</si>
  <si>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</si>
  <si>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</si>
  <si>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</si>
  <si>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</si>
  <si>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</si>
  <si>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</si>
  <si>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</si>
  <si>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</si>
  <si>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</si>
  <si>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</si>
  <si>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</si>
  <si>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</si>
  <si>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</si>
  <si>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</si>
  <si>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</si>
  <si>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</si>
  <si>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</si>
  <si>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</si>
  <si>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</si>
  <si>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</si>
  <si>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</si>
  <si>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</si>
  <si>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</si>
  <si>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</si>
  <si>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</si>
  <si>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</si>
  <si>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</si>
  <si>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</si>
  <si>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</si>
  <si>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</si>
  <si>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</si>
  <si>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</si>
  <si>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</si>
  <si>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</si>
  <si>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</si>
  <si>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</si>
  <si>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</si>
  <si>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</si>
  <si>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</si>
  <si>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</si>
  <si>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</si>
  <si>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</si>
  <si>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</si>
  <si>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</si>
  <si>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</si>
  <si>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</si>
  <si>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</si>
  <si>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</si>
  <si>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</si>
  <si>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</si>
  <si>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</si>
  <si>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</si>
  <si>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</si>
  <si>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</si>
  <si>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</si>
  <si>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</si>
  <si>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</si>
  <si>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</si>
  <si>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</si>
  <si>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</si>
  <si>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</si>
  <si>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</si>
  <si>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</si>
  <si>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</si>
  <si>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</si>
  <si>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</si>
  <si>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</si>
  <si>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</si>
  <si>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</si>
  <si>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</si>
  <si>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</si>
  <si>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</si>
  <si>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</si>
  <si>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</si>
  <si>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</si>
  <si>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</si>
  <si>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</si>
  <si>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</si>
  <si>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</si>
  <si>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</si>
  <si>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</si>
  <si>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</si>
  <si>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</si>
  <si>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</si>
  <si>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</si>
  <si>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</si>
  <si>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</si>
  <si>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</si>
  <si>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</si>
  <si>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</si>
  <si>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</si>
  <si>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</si>
  <si>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</si>
  <si>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</si>
  <si>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</si>
  <si>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</si>
  <si>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</si>
  <si>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</si>
  <si>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</si>
  <si>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</si>
  <si>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</si>
  <si>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</si>
  <si>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</si>
  <si>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</si>
  <si>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</si>
  <si>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</si>
  <si>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</si>
  <si>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</si>
  <si>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</si>
  <si>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</si>
  <si>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</si>
  <si>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</si>
  <si>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</si>
  <si>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</si>
  <si>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</si>
  <si>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</si>
  <si>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</si>
  <si>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</si>
  <si>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</si>
  <si>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</si>
  <si>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</si>
  <si>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</si>
  <si>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</si>
  <si>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</si>
  <si>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</si>
  <si>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</si>
  <si>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</si>
  <si>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</si>
  <si>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</si>
  <si>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</si>
  <si>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</si>
  <si>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</si>
  <si>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</si>
  <si>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</si>
  <si>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</si>
  <si>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</si>
  <si>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</si>
  <si>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</si>
  <si>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</si>
  <si>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</si>
  <si>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</si>
  <si>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</si>
  <si>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</si>
  <si>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</si>
  <si>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</si>
  <si>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</si>
  <si>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</si>
  <si>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</si>
  <si>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</si>
  <si>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</si>
  <si>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</si>
  <si>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</si>
  <si>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</si>
  <si>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</si>
  <si>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</si>
  <si>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</si>
  <si>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</si>
  <si>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</si>
  <si>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</si>
  <si>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</si>
  <si>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</si>
  <si>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</si>
  <si>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</si>
  <si>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</si>
  <si>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</si>
  <si>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</si>
  <si>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</si>
  <si>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</si>
  <si>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</si>
  <si>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</si>
  <si>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</si>
  <si>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</si>
  <si>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</si>
  <si>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</si>
  <si>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</si>
  <si>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</si>
  <si>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</si>
  <si>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</si>
  <si>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</si>
  <si>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</si>
  <si>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</si>
  <si>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</si>
  <si>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</si>
  <si>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</si>
  <si>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</si>
  <si>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</si>
  <si>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</si>
  <si>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</si>
  <si>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</si>
  <si>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</si>
  <si>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</si>
  <si>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</si>
  <si>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</si>
  <si>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</si>
  <si>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</si>
  <si>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</si>
  <si>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</si>
  <si>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</si>
  <si>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</si>
  <si>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</si>
  <si>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</si>
  <si>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</si>
  <si>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</si>
  <si>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</si>
  <si>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</si>
  <si>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</si>
  <si>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</si>
  <si>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</si>
  <si>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</si>
  <si>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</si>
  <si>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</si>
  <si>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</si>
  <si>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</si>
  <si>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</si>
  <si>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</si>
  <si>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</si>
  <si>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</si>
  <si>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</si>
  <si>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</si>
  <si>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</si>
  <si>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</si>
  <si>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</si>
  <si>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</si>
  <si>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</si>
  <si>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</si>
  <si>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</si>
  <si>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</si>
  <si>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</si>
  <si>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</si>
  <si>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</si>
  <si>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</si>
  <si>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</si>
  <si>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</si>
  <si>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</si>
  <si>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</si>
  <si>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</si>
  <si>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</si>
  <si>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</si>
  <si>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</si>
  <si>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</si>
  <si>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</si>
  <si>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</si>
  <si>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</si>
  <si>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</si>
  <si>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</si>
  <si>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</si>
  <si>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</si>
  <si>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</si>
  <si>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</si>
  <si>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</si>
  <si>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</si>
  <si>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</si>
  <si>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</si>
  <si>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</si>
  <si>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</si>
  <si>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</si>
  <si>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</si>
  <si>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</si>
  <si>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</si>
  <si>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</si>
  <si>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</si>
  <si>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</si>
  <si>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</si>
  <si>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</si>
  <si>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</si>
  <si>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</si>
  <si>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</si>
  <si>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</si>
  <si>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</si>
  <si>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</si>
  <si>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</si>
  <si>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</si>
  <si>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</si>
  <si>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</si>
  <si>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</si>
  <si>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</si>
  <si>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</si>
  <si>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</si>
  <si>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</si>
  <si>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</si>
  <si>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</si>
  <si>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</si>
  <si>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</si>
  <si>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</si>
  <si>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</si>
  <si>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</si>
  <si>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</si>
  <si>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</si>
  <si>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</si>
  <si>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</si>
  <si>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</si>
  <si>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</si>
  <si>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</si>
  <si>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</si>
  <si>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</si>
  <si>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</si>
  <si>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</si>
  <si>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</si>
  <si>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</si>
  <si>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</si>
  <si>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</si>
  <si>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</si>
  <si>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</si>
  <si>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</si>
  <si>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</si>
  <si>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</si>
  <si>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</si>
  <si>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</si>
  <si>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</si>
  <si>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</si>
  <si>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</si>
  <si>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</si>
  <si>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</si>
  <si>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</si>
  <si>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</si>
  <si>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</si>
  <si>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</si>
  <si>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</si>
  <si>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</si>
  <si>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</si>
  <si>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</si>
  <si>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</si>
  <si>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</si>
  <si>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</si>
  <si>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</si>
  <si>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</si>
  <si>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</si>
  <si>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</si>
  <si>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</si>
  <si>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</si>
  <si>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</si>
  <si>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</si>
  <si>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</si>
  <si>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</si>
  <si>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</si>
  <si>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</si>
  <si>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</si>
  <si>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</si>
  <si>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</si>
  <si>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</si>
  <si>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</si>
  <si>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</si>
  <si>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</si>
  <si>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</si>
  <si>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</si>
  <si>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</si>
  <si>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</si>
  <si>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</si>
  <si>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</si>
  <si>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</si>
  <si>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</si>
  <si>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</si>
  <si>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</si>
  <si>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</si>
  <si>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</si>
  <si>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</si>
  <si>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</si>
  <si>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</si>
  <si>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</si>
  <si>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</si>
  <si>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</si>
  <si>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</si>
  <si>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</si>
  <si>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</si>
  <si>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</si>
  <si>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</si>
  <si>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</si>
  <si>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</si>
  <si>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</si>
  <si>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</si>
  <si>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</si>
  <si>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</si>
  <si>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</si>
  <si>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</si>
  <si>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</si>
  <si>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</si>
  <si>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</si>
  <si>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</si>
  <si>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</si>
  <si>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</si>
  <si>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</si>
  <si>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</si>
  <si>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</si>
  <si>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</si>
  <si>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</si>
  <si>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</si>
  <si>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</si>
  <si>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</si>
  <si>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</si>
  <si>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</si>
  <si>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</si>
  <si>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</si>
  <si>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</si>
  <si>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</si>
  <si>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</si>
  <si>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</si>
  <si>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</si>
  <si>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</si>
  <si>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</si>
  <si>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</si>
  <si>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</si>
  <si>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</si>
  <si>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</si>
  <si>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</si>
  <si>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</si>
  <si>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</si>
  <si>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</si>
  <si>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</si>
  <si>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</si>
  <si>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</si>
  <si>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</si>
  <si>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</si>
  <si>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</si>
  <si>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</si>
  <si>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</si>
  <si>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</si>
  <si>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</si>
  <si>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</si>
  <si>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</si>
  <si>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</si>
  <si>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</si>
  <si>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</si>
  <si>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</si>
  <si>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</si>
  <si>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</si>
  <si>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</si>
  <si>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</si>
  <si>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</si>
  <si>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</si>
  <si>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</si>
  <si>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</si>
  <si>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</si>
  <si>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</si>
  <si>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</si>
  <si>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</si>
  <si>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</si>
  <si>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</si>
  <si>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</si>
  <si>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</si>
  <si>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</si>
  <si>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</si>
  <si>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</si>
  <si>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</si>
  <si>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</si>
  <si>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</si>
  <si>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</si>
  <si>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</si>
  <si>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</si>
  <si>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</si>
  <si>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</si>
  <si>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</si>
  <si>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</si>
  <si>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</si>
  <si>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</si>
  <si>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</si>
  <si>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</si>
  <si>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</si>
  <si>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</si>
  <si>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</si>
  <si>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</si>
  <si>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</si>
  <si>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</si>
  <si>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</si>
  <si>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</si>
  <si>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</si>
  <si>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</si>
  <si>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</si>
  <si>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</si>
  <si>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</si>
  <si>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</si>
  <si>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</si>
  <si>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</si>
  <si>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</si>
  <si>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</si>
  <si>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</si>
  <si>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</si>
  <si>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</si>
  <si>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</si>
  <si>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</si>
  <si>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</si>
  <si>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</si>
  <si>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</si>
  <si>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</si>
  <si>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</si>
  <si>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</si>
  <si>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</si>
  <si>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</si>
  <si>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</si>
  <si>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</si>
  <si>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</si>
  <si>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</si>
  <si>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</si>
  <si>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</si>
  <si>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</si>
  <si>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</si>
  <si>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</si>
  <si>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</si>
  <si>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</si>
  <si>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</si>
  <si>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</si>
  <si>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</si>
  <si>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</si>
  <si>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</si>
  <si>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</si>
  <si>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</si>
  <si>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</si>
  <si>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</si>
  <si>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</si>
  <si>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</si>
  <si>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</si>
  <si>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</si>
  <si>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</si>
  <si>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</si>
  <si>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</si>
  <si>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</si>
  <si>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</si>
  <si>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</si>
  <si>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</si>
  <si>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</si>
  <si>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</si>
  <si>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</si>
  <si>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</si>
  <si>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</si>
  <si>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</si>
  <si>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</si>
  <si>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</si>
  <si>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</si>
  <si>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</si>
  <si>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</si>
  <si>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</si>
  <si>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</si>
  <si>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</si>
  <si>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</si>
  <si>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</si>
  <si>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</si>
  <si>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</si>
  <si>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</si>
  <si>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</si>
  <si>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</si>
  <si>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</si>
  <si>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</si>
  <si>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</si>
  <si>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</si>
  <si>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</si>
  <si>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</si>
  <si>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</si>
  <si>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</si>
  <si>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</si>
  <si>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</si>
  <si>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</si>
  <si>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</si>
  <si>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</si>
  <si>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</si>
  <si>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</si>
  <si>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</si>
  <si>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</si>
  <si>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</si>
  <si>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</si>
  <si>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</si>
  <si>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</si>
  <si>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</si>
  <si>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</si>
  <si>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</si>
  <si>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</si>
  <si>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</si>
  <si>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</si>
  <si>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</si>
  <si>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</si>
  <si>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</si>
  <si>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</si>
  <si>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</si>
  <si>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</si>
  <si>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</si>
  <si>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</si>
  <si>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</si>
  <si>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</si>
  <si>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</si>
  <si>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</si>
  <si>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</si>
  <si>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</si>
  <si>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</si>
  <si>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</si>
  <si>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</si>
  <si>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</si>
  <si>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</si>
  <si>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</si>
  <si>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</si>
  <si>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</si>
  <si>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</si>
  <si>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</si>
  <si>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</si>
  <si>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</si>
  <si>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</si>
  <si>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</si>
  <si>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</si>
  <si>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</si>
  <si>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</si>
  <si>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</si>
  <si>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</si>
  <si>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</si>
  <si>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</si>
  <si>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</si>
  <si>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</si>
  <si>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</si>
  <si>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</si>
  <si>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</si>
  <si>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</si>
  <si>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</si>
  <si>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</si>
  <si>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</si>
  <si>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</si>
  <si>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</si>
  <si>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</si>
  <si>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</si>
  <si>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</si>
  <si>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</si>
  <si>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</si>
  <si>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</si>
  <si>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</si>
  <si>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</si>
  <si>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</si>
  <si>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</si>
  <si>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</si>
  <si>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</si>
  <si>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</si>
  <si>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</si>
  <si>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</si>
  <si>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</si>
  <si>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</si>
  <si>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</si>
  <si>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</si>
  <si>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</si>
  <si>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</si>
  <si>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</si>
  <si>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</si>
  <si>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</si>
  <si>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</si>
  <si>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</si>
  <si>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</si>
  <si>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</si>
  <si>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</si>
  <si>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</si>
  <si>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</si>
  <si>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</si>
  <si>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</si>
  <si>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</si>
  <si>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</si>
  <si>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</si>
  <si>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</si>
  <si>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</si>
  <si>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</si>
  <si>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</si>
  <si>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</si>
  <si>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</si>
  <si>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</si>
  <si>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</si>
  <si>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</si>
  <si>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</si>
  <si>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</si>
  <si>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</si>
  <si>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</si>
  <si>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</si>
  <si>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</si>
  <si>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</si>
  <si>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</si>
  <si>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</si>
  <si>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</si>
  <si>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</si>
  <si>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</si>
  <si>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</si>
  <si>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</si>
  <si>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</si>
  <si>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</si>
  <si>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</si>
  <si>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</si>
  <si>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</si>
  <si>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</si>
  <si>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</si>
  <si>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</si>
  <si>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</si>
  <si>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</si>
  <si>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</si>
  <si>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</si>
  <si>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</si>
  <si>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</si>
  <si>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</si>
  <si>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</si>
  <si>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</si>
  <si>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</si>
  <si>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</si>
  <si>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</si>
  <si>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</si>
  <si>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</si>
  <si>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</si>
  <si>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</si>
  <si>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</si>
  <si>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</si>
  <si>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</si>
  <si>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</si>
  <si>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</si>
  <si>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</si>
  <si>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</si>
  <si>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</si>
  <si>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</si>
  <si>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</si>
  <si>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</si>
  <si>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</si>
  <si>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</si>
  <si>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</si>
  <si>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</si>
  <si>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</si>
  <si>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</si>
  <si>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</si>
  <si>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</si>
  <si>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</si>
  <si>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</si>
  <si>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</si>
  <si>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</si>
  <si>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</si>
  <si>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</si>
  <si>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</si>
  <si>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</si>
  <si>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</si>
  <si>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</si>
  <si>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</si>
  <si>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</si>
  <si>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</si>
  <si>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</si>
  <si>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</si>
  <si>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</si>
  <si>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</si>
  <si>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</si>
  <si>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</si>
  <si>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</si>
  <si>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</si>
  <si>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</si>
  <si>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</si>
  <si>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</si>
  <si>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</si>
  <si>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</si>
  <si>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</si>
  <si>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</si>
  <si>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</si>
  <si>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</si>
  <si>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</si>
  <si>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</si>
  <si>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</si>
  <si>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</si>
  <si>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</si>
  <si>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</si>
  <si>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</si>
  <si>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</si>
  <si>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</si>
  <si>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</si>
  <si>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</si>
  <si>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</si>
  <si>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</si>
  <si>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</si>
  <si>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</si>
  <si>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</si>
  <si>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</si>
  <si>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</si>
  <si>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</si>
  <si>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</si>
  <si>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</si>
  <si>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</si>
  <si>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</si>
  <si>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</si>
  <si>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</si>
  <si>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</si>
  <si>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</si>
  <si>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</si>
  <si>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</si>
  <si>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</si>
  <si>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</si>
  <si>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</si>
  <si>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</si>
  <si>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</si>
  <si>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</si>
  <si>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</si>
  <si>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</si>
  <si>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</si>
  <si>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</si>
  <si>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</si>
  <si>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</si>
  <si>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</si>
  <si>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</si>
  <si>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</si>
  <si>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</si>
  <si>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</si>
  <si>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</si>
  <si>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</si>
  <si>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</si>
  <si>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</si>
  <si>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</si>
  <si>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</si>
  <si>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</si>
  <si>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</si>
  <si>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</si>
  <si>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</si>
  <si>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</si>
  <si>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</si>
  <si>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</si>
  <si>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</si>
  <si>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</si>
  <si>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</si>
  <si>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</si>
  <si>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</si>
  <si>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</si>
  <si>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</si>
  <si>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</si>
  <si>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</si>
  <si>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</si>
  <si>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</si>
  <si>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</si>
  <si>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</si>
  <si>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</si>
  <si>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</si>
  <si>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</si>
  <si>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</si>
  <si>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</si>
  <si>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</si>
  <si>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</si>
  <si>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</si>
  <si>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</si>
  <si>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</si>
  <si>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</si>
  <si>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</si>
  <si>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</si>
  <si>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</si>
  <si>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</si>
  <si>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</si>
  <si>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</si>
  <si>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</si>
  <si>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</si>
  <si>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</si>
  <si>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</si>
  <si>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</si>
  <si>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</si>
  <si>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</si>
  <si>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</si>
  <si>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</si>
  <si>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</si>
  <si>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</si>
  <si>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</si>
  <si>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</si>
  <si>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</si>
  <si>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</si>
  <si>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</si>
  <si>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</si>
  <si>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</si>
  <si>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</si>
  <si>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</si>
  <si>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</si>
  <si>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</si>
  <si>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</si>
  <si>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</si>
  <si>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</si>
  <si>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</si>
  <si>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</si>
  <si>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</si>
  <si>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</si>
  <si>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</si>
  <si>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</si>
  <si>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</si>
  <si>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</si>
  <si>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</si>
  <si>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</si>
  <si>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</si>
  <si>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</si>
  <si>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</si>
  <si>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</si>
  <si>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</si>
  <si>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</si>
  <si>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</si>
  <si>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</si>
  <si>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</si>
  <si>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</si>
  <si>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</si>
  <si>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</si>
  <si>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</si>
  <si>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</si>
  <si>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</si>
  <si>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</si>
  <si>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</si>
  <si>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</si>
  <si>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</si>
  <si>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</si>
  <si>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</si>
  <si>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</si>
  <si>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</si>
  <si>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</si>
  <si>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</si>
  <si>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</si>
  <si>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</si>
  <si>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</si>
  <si>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</si>
  <si>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</si>
  <si>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</si>
  <si>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</si>
  <si>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</si>
  <si>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</si>
  <si>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</si>
  <si>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</si>
  <si>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</si>
  <si>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</si>
  <si>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</si>
  <si>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</si>
  <si>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</si>
  <si>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</si>
  <si>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</si>
  <si>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</si>
  <si>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</si>
  <si>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</si>
  <si>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</si>
  <si>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</si>
  <si>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</si>
  <si>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</si>
  <si>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</si>
  <si>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</si>
  <si>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</si>
  <si>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</si>
  <si>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</si>
  <si>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</si>
  <si>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</si>
  <si>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</si>
  <si>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</si>
  <si>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</si>
  <si>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</si>
  <si>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</si>
  <si>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</si>
  <si>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</si>
  <si>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</si>
  <si>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</si>
  <si>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</si>
  <si>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</si>
  <si>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</si>
  <si>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</si>
  <si>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</si>
  <si>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</si>
  <si>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</si>
  <si>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</si>
  <si>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</si>
  <si>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</si>
  <si>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</si>
  <si>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</si>
  <si>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</si>
  <si>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</si>
  <si>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</si>
  <si>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</si>
  <si>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</si>
  <si>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</si>
  <si>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</si>
  <si>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</si>
  <si>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</si>
  <si>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</si>
  <si>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</si>
  <si>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</si>
  <si>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</si>
  <si>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</si>
  <si>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</si>
  <si>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</si>
  <si>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</si>
  <si>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</si>
  <si>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</si>
  <si>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</si>
  <si>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</si>
  <si>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</si>
  <si>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</si>
  <si>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</si>
  <si>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</si>
  <si>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</si>
  <si>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</si>
  <si>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</si>
  <si>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</si>
  <si>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</si>
  <si>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</si>
  <si>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</si>
  <si>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</si>
  <si>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</si>
  <si>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</si>
  <si>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</si>
  <si>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</si>
  <si>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</si>
  <si>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</si>
  <si>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</si>
  <si>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</si>
  <si>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</si>
  <si>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</si>
  <si>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</si>
  <si>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</si>
  <si>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</si>
  <si>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</si>
  <si>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</si>
  <si>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</si>
  <si>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</si>
  <si>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</si>
  <si>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</si>
  <si>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</si>
  <si>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</si>
  <si>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</si>
  <si>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</si>
  <si>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</si>
  <si>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</si>
  <si>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</si>
  <si>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</si>
  <si>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</si>
  <si>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</si>
  <si>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</si>
  <si>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</si>
  <si>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</si>
  <si>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</si>
  <si>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</si>
  <si>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</si>
  <si>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</si>
  <si>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</si>
  <si>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</si>
  <si>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</si>
  <si>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</si>
  <si>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</si>
  <si>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</si>
  <si>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</si>
  <si>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</si>
  <si>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</si>
  <si>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</si>
  <si>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</si>
  <si>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</si>
  <si>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</si>
  <si>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</si>
  <si>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</si>
  <si>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</si>
  <si>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</si>
  <si>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</si>
  <si>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</si>
  <si>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</si>
  <si>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</si>
  <si>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</si>
  <si>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</si>
  <si>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</si>
  <si>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</si>
  <si>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</si>
  <si>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</si>
  <si>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</si>
  <si>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</si>
  <si>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</si>
  <si>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</si>
  <si>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</si>
  <si>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</si>
  <si>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</si>
  <si>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</si>
  <si>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</si>
  <si>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</si>
  <si>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</si>
  <si>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</si>
  <si>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</si>
  <si>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</si>
  <si>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</si>
  <si>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</si>
  <si>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</si>
  <si>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</si>
  <si>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</si>
  <si>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</si>
  <si>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</si>
  <si>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</si>
  <si>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</si>
  <si>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</si>
  <si>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</si>
  <si>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</si>
  <si>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</si>
  <si>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</si>
  <si>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</si>
  <si>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</si>
  <si>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</si>
  <si>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</si>
  <si>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</si>
  <si>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</si>
  <si>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</si>
  <si>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</si>
  <si>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</si>
  <si>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</si>
  <si>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</si>
  <si>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</si>
  <si>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</si>
  <si>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</si>
  <si>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</si>
  <si>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</si>
  <si>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</si>
  <si>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</si>
  <si>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</si>
  <si>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</si>
  <si>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</si>
  <si>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</si>
  <si>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</si>
  <si>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</si>
  <si>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</si>
  <si>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</si>
  <si>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</si>
  <si>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</si>
  <si>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</si>
  <si>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</si>
  <si>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</si>
  <si>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</si>
  <si>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</si>
  <si>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</si>
  <si>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</si>
  <si>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</si>
  <si>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</si>
  <si>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</si>
  <si>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</si>
  <si>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</si>
  <si>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</si>
  <si>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</si>
  <si>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</si>
  <si>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</si>
  <si>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</si>
  <si>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</si>
  <si>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</si>
  <si>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</si>
  <si>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</si>
  <si>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</si>
  <si>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</si>
  <si>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</si>
  <si>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</si>
  <si>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</si>
  <si>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</si>
  <si>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</si>
  <si>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</si>
  <si>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</si>
  <si>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</si>
  <si>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</si>
  <si>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</si>
  <si>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</si>
  <si>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</si>
  <si>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</si>
  <si>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</si>
  <si>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</si>
  <si>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</si>
  <si>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</si>
  <si>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</si>
  <si>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</si>
  <si>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</si>
  <si>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</si>
  <si>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</si>
  <si>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</si>
  <si>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</si>
  <si>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</si>
  <si>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</si>
  <si>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</si>
  <si>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</si>
  <si>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</si>
  <si>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</si>
  <si>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</si>
  <si>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</si>
  <si>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</si>
  <si>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</si>
  <si>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</si>
  <si>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</si>
  <si>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</si>
  <si>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</si>
  <si>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</si>
  <si>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</si>
  <si>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</si>
  <si>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</si>
  <si>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</si>
  <si>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</si>
  <si>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</si>
  <si>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</si>
  <si>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</si>
  <si>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</si>
  <si>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</si>
  <si>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</si>
  <si>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</si>
  <si>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</si>
  <si>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</si>
  <si>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</si>
  <si>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</si>
  <si>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</si>
  <si>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</si>
  <si>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</si>
  <si>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</si>
  <si>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</si>
  <si>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</si>
  <si>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</si>
  <si>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</si>
  <si>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</si>
  <si>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</si>
  <si>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</si>
  <si>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</si>
  <si>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</si>
  <si>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</si>
  <si>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</si>
  <si>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</si>
  <si>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</si>
  <si>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</si>
  <si>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</si>
  <si>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</si>
  <si>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</si>
  <si>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</si>
  <si>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</si>
  <si>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</si>
  <si>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</si>
  <si>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</si>
  <si>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</si>
  <si>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</si>
  <si>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</si>
  <si>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</si>
  <si>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</si>
  <si>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</si>
  <si>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</si>
  <si>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</si>
  <si>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</si>
  <si>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</si>
  <si>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</si>
  <si>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</si>
  <si>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</si>
  <si>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</si>
  <si>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</si>
  <si>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</si>
  <si>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</si>
  <si>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</si>
  <si>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</si>
  <si>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</si>
  <si>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</si>
  <si>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</si>
  <si>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</si>
  <si>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</si>
  <si>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</si>
  <si>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</si>
  <si>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</si>
  <si>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</si>
  <si>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</si>
  <si>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</si>
  <si>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</si>
  <si>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</si>
  <si>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</si>
  <si>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</si>
  <si>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</si>
  <si>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</si>
  <si>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</si>
  <si>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</si>
  <si>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</si>
  <si>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</si>
  <si>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</si>
  <si>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</si>
  <si>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</si>
  <si>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</si>
  <si>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</si>
  <si>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</si>
  <si>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</si>
  <si>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</si>
  <si>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</si>
  <si>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</si>
  <si>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</si>
  <si>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</si>
  <si>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</si>
  <si>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</si>
  <si>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</si>
  <si>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</si>
  <si>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</si>
  <si>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</si>
  <si>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</si>
  <si>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</si>
  <si>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</si>
  <si>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</si>
  <si>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</si>
  <si>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</si>
  <si>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</si>
  <si>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</si>
  <si>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</si>
  <si>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</si>
  <si>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</si>
  <si>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</si>
  <si>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</si>
  <si>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</si>
  <si>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</si>
  <si>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</si>
  <si>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</si>
  <si>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</si>
  <si>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</si>
  <si>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</si>
  <si>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</si>
  <si>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</si>
  <si>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</si>
  <si>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</si>
  <si>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</si>
  <si>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</si>
  <si>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</si>
  <si>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</si>
  <si>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</si>
  <si>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</si>
  <si>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</si>
  <si>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</si>
  <si>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</si>
  <si>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</si>
  <si>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</si>
  <si>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</si>
  <si>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</si>
  <si>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</si>
  <si>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</si>
  <si>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</si>
  <si>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</si>
  <si>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</si>
  <si>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</si>
  <si>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</si>
  <si>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</si>
  <si>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</si>
  <si>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</si>
  <si>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</si>
  <si>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</si>
  <si>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</si>
  <si>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</si>
  <si>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</si>
  <si>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</si>
  <si>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</si>
  <si>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</si>
  <si>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</si>
  <si>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</si>
  <si>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</si>
  <si>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</si>
  <si>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</si>
  <si>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</si>
  <si>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</si>
  <si>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</si>
  <si>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</si>
  <si>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</si>
  <si>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</si>
  <si>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</si>
  <si>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</si>
  <si>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</si>
  <si>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</si>
  <si>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</si>
  <si>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</si>
  <si>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</si>
  <si>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</si>
  <si>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</si>
  <si>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</si>
  <si>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</si>
  <si>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</si>
  <si>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</si>
  <si>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</si>
  <si>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</si>
  <si>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</si>
  <si>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</si>
  <si>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</si>
  <si>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</si>
  <si>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</si>
  <si>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</si>
  <si>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</si>
  <si>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</si>
  <si>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</si>
  <si>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</si>
  <si>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</si>
  <si>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</si>
  <si>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</si>
  <si>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</si>
  <si>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</si>
  <si>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</si>
  <si>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</si>
  <si>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</si>
  <si>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</si>
  <si>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</si>
  <si>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</si>
  <si>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</si>
  <si>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</si>
  <si>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</si>
  <si>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</si>
  <si>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</si>
  <si>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</si>
  <si>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</si>
  <si>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</si>
  <si>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</si>
  <si>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</si>
  <si>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</si>
  <si>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</si>
  <si>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</si>
  <si>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</si>
  <si>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</si>
  <si>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</si>
  <si>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</si>
  <si>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</si>
  <si>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</si>
  <si>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</si>
  <si>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</si>
  <si>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</si>
  <si>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</si>
  <si>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</si>
  <si>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</si>
  <si>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</si>
  <si>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</si>
  <si>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</si>
  <si>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</si>
  <si>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</si>
  <si>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</si>
  <si>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</si>
  <si>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</si>
  <si>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</si>
  <si>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</si>
  <si>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</si>
  <si>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</si>
  <si>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</si>
  <si>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</si>
  <si>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</si>
  <si>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</si>
  <si>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</si>
  <si>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</si>
  <si>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</si>
  <si>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</si>
  <si>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</si>
  <si>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</si>
  <si>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</si>
  <si>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</si>
  <si>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</si>
  <si>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</si>
  <si>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</si>
  <si>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</si>
  <si>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</si>
  <si>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</si>
  <si>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</si>
  <si>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</si>
  <si>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</si>
  <si>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</si>
  <si>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</si>
  <si>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</si>
  <si>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</si>
  <si>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</si>
  <si>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</si>
  <si>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</si>
  <si>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</si>
  <si>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</si>
  <si>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</si>
  <si>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</si>
  <si>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</si>
  <si>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</si>
  <si>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</si>
  <si>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</si>
  <si>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</si>
  <si>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</si>
  <si>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</si>
  <si>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</si>
  <si>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</si>
  <si>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</si>
  <si>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</si>
  <si>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</si>
  <si>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</si>
  <si>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</si>
  <si>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</si>
  <si>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</si>
  <si>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</si>
  <si>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</si>
  <si>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</si>
  <si>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</si>
  <si>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</si>
  <si>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</si>
  <si>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</si>
  <si>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</si>
  <si>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</si>
  <si>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</si>
  <si>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</si>
  <si>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</si>
  <si>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</si>
  <si>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</si>
  <si>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</si>
  <si>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</si>
  <si>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</si>
  <si>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</si>
  <si>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</si>
  <si>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</si>
  <si>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</si>
  <si>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</si>
  <si>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</si>
  <si>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</si>
  <si>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</si>
  <si>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</si>
  <si>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</si>
  <si>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</si>
  <si>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</si>
  <si>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</si>
  <si>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</si>
  <si>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</si>
  <si>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</si>
  <si>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</si>
  <si>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</si>
  <si>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</si>
  <si>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</si>
  <si>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</si>
  <si>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</si>
  <si>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</si>
  <si>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</si>
  <si>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</si>
  <si>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</si>
  <si>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</si>
  <si>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</si>
  <si>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</si>
  <si>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</si>
  <si>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</si>
  <si>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</si>
  <si>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</si>
  <si>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</si>
  <si>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</si>
  <si>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</si>
  <si>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</si>
  <si>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</si>
  <si>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</si>
  <si>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</si>
  <si>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</si>
  <si>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</si>
  <si>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</si>
  <si>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</si>
  <si>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</si>
  <si>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</si>
  <si>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</si>
  <si>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</si>
  <si>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</si>
  <si>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</si>
  <si>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</si>
  <si>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</si>
  <si>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</si>
  <si>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</si>
  <si>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</si>
  <si>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</si>
  <si>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</si>
  <si>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</si>
  <si>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</si>
  <si>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</si>
  <si>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</si>
  <si>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</si>
  <si>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</si>
  <si>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</si>
  <si>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</si>
  <si>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</si>
  <si>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</si>
  <si>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</si>
  <si>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</si>
  <si>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</si>
  <si>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</si>
  <si>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</si>
  <si>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</si>
  <si>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</si>
  <si>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</si>
  <si>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</si>
  <si>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</si>
  <si>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</si>
  <si>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</si>
  <si>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</si>
  <si>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</si>
  <si>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</si>
  <si>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</si>
  <si>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</si>
  <si>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</si>
  <si>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</si>
  <si>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</si>
  <si>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</si>
  <si>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</si>
  <si>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</si>
  <si>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</si>
  <si>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</si>
  <si>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</si>
  <si>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</si>
  <si>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</si>
  <si>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</si>
  <si>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</si>
  <si>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</si>
  <si>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</si>
  <si>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</si>
  <si>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</si>
  <si>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</si>
  <si>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</si>
  <si>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</si>
  <si>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</si>
  <si>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</si>
  <si>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</si>
  <si>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</si>
  <si>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</si>
  <si>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</si>
  <si>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</si>
  <si>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</si>
  <si>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</si>
  <si>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</si>
  <si>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</si>
  <si>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</si>
  <si>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</si>
  <si>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</si>
  <si>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</si>
  <si>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</si>
  <si>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</si>
  <si>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</si>
  <si>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</si>
  <si>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</si>
  <si>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</si>
  <si>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</si>
  <si>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</si>
  <si>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</si>
  <si>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</si>
  <si>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</si>
  <si>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</si>
  <si>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</si>
  <si>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</si>
  <si>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</si>
  <si>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</si>
  <si>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</si>
  <si>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</si>
  <si>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</si>
  <si>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</si>
  <si>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</si>
  <si>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</si>
  <si>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</si>
  <si>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</si>
  <si>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</si>
  <si>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</si>
  <si>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</si>
  <si>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</si>
  <si>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</si>
  <si>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</si>
  <si>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</si>
  <si>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</si>
  <si>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</si>
  <si>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</si>
  <si>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</si>
  <si>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</si>
  <si>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</si>
  <si>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</si>
  <si>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</si>
  <si>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</si>
  <si>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</si>
  <si>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</si>
  <si>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</si>
  <si>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</si>
  <si>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</si>
  <si>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</si>
  <si>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</si>
  <si>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</si>
  <si>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</si>
  <si>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</si>
  <si>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</si>
  <si>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</si>
  <si>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</si>
  <si>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</si>
  <si>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</si>
  <si>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</si>
  <si>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</si>
  <si>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</si>
  <si>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</si>
  <si>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</si>
  <si>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</si>
  <si>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</si>
  <si>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</si>
  <si>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</si>
  <si>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</si>
  <si>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</si>
  <si>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</si>
  <si>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</si>
  <si>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</si>
  <si>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</si>
  <si>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</si>
  <si>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</si>
  <si>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</si>
  <si>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</si>
  <si>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</si>
  <si>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</si>
  <si>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</si>
  <si>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</si>
  <si>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</si>
  <si>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</si>
  <si>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</si>
  <si>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</si>
  <si>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</si>
  <si>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</si>
  <si>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</si>
  <si>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</si>
  <si>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</si>
  <si>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</si>
  <si>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</si>
  <si>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</si>
  <si>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</si>
  <si>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</si>
  <si>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</si>
  <si>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</si>
  <si>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</si>
  <si>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</si>
  <si>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</si>
  <si>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</si>
  <si>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</si>
  <si>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</si>
  <si>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</si>
  <si>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</si>
  <si>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</si>
  <si>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</si>
  <si>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</si>
  <si>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</si>
  <si>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</si>
  <si>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</si>
  <si>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</si>
  <si>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</si>
  <si>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</si>
  <si>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</si>
  <si>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</si>
  <si>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</si>
  <si>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</si>
  <si>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</si>
  <si>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</si>
  <si>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</si>
  <si>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</si>
  <si>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</si>
  <si>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</si>
  <si>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</si>
  <si>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</si>
  <si>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</si>
  <si>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</si>
  <si>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</si>
  <si>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</si>
  <si>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</si>
  <si>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</si>
  <si>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</si>
  <si>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</si>
  <si>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</si>
  <si>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</si>
  <si>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</si>
  <si>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</si>
  <si>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</si>
  <si>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</si>
  <si>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</si>
  <si>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</si>
  <si>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</si>
  <si>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</si>
  <si>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</si>
  <si>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</si>
  <si>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</si>
  <si>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</si>
  <si>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</si>
  <si>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</si>
  <si>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</si>
  <si>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</si>
  <si>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</si>
  <si>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</si>
  <si>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</si>
  <si>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</si>
  <si>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</si>
  <si>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</si>
  <si>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</si>
  <si>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</si>
  <si>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</si>
  <si>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</si>
  <si>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</si>
  <si>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</si>
  <si>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</si>
  <si>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</si>
  <si>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</si>
  <si>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</si>
  <si>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</si>
  <si>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</si>
  <si>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</si>
  <si>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</si>
  <si>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</si>
  <si>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</si>
  <si>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</si>
  <si>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</si>
  <si>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</si>
  <si>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</si>
  <si>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</si>
  <si>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</si>
  <si>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</si>
  <si>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</si>
  <si>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</si>
  <si>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</si>
  <si>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</si>
  <si>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</si>
  <si>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</si>
  <si>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</si>
  <si>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</si>
  <si>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</si>
  <si>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</si>
  <si>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</si>
  <si>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</si>
  <si>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</si>
  <si>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</si>
  <si>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</si>
  <si>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</si>
  <si>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</si>
  <si>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</si>
  <si>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</si>
  <si>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</si>
  <si>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</si>
  <si>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</si>
  <si>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</si>
  <si>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</si>
  <si>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</si>
  <si>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</si>
  <si>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</si>
  <si>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</si>
  <si>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</si>
  <si>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</si>
  <si>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</si>
  <si>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</si>
  <si>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</si>
  <si>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</si>
  <si>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</si>
  <si>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</si>
  <si>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</si>
  <si>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</si>
  <si>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</si>
  <si>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</si>
  <si>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</si>
  <si>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</si>
  <si>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</si>
  <si>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</si>
  <si>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</si>
  <si>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</si>
  <si>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</si>
  <si>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</si>
  <si>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</si>
  <si>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</si>
  <si>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</si>
  <si>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</si>
  <si>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</si>
  <si>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</si>
  <si>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</si>
  <si>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</si>
  <si>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</si>
  <si>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</si>
  <si>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</si>
  <si>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</si>
  <si>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</si>
  <si>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</si>
  <si>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</si>
  <si>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</si>
  <si>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</si>
  <si>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</si>
  <si>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</si>
  <si>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</si>
  <si>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</si>
  <si>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</si>
  <si>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</si>
  <si>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</si>
  <si>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</si>
  <si>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</si>
  <si>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</si>
  <si>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</si>
  <si>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</si>
  <si>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</si>
  <si>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</si>
  <si>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</si>
  <si>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</si>
  <si>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</si>
  <si>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</si>
  <si>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</si>
  <si>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</si>
  <si>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</si>
  <si>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</si>
  <si>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</si>
  <si>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</si>
  <si>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</si>
  <si>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</si>
  <si>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</si>
  <si>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</si>
  <si>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</si>
  <si>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</si>
  <si>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</si>
  <si>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</si>
  <si>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</si>
  <si>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</si>
  <si>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</si>
  <si>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</si>
  <si>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</si>
  <si>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</si>
  <si>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</si>
  <si>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</si>
  <si>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</si>
  <si>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</si>
  <si>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</si>
  <si>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</si>
  <si>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</si>
  <si>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</si>
  <si>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</si>
  <si>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</si>
  <si>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</si>
  <si>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</si>
  <si>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</si>
  <si>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</si>
  <si>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</si>
  <si>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</si>
  <si>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</si>
  <si>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</si>
  <si>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</si>
  <si>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</si>
  <si>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</si>
  <si>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</si>
  <si>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</si>
  <si>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</si>
  <si>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</si>
  <si>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</si>
  <si>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</si>
  <si>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</si>
  <si>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</si>
  <si>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</si>
  <si>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</si>
  <si>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</si>
  <si>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</si>
  <si>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</si>
  <si>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</si>
  <si>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</si>
  <si>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</si>
  <si>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</si>
  <si>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</si>
  <si>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</si>
  <si>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</si>
  <si>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</si>
  <si>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</si>
  <si>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</si>
  <si>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</si>
  <si>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</si>
  <si>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</si>
  <si>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</si>
  <si>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</si>
  <si>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</si>
  <si>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</si>
  <si>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</si>
  <si>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</si>
  <si>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</si>
  <si>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</si>
  <si>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</si>
  <si>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</si>
  <si>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</si>
  <si>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</si>
  <si>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</si>
  <si>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</si>
  <si>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</si>
  <si>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</si>
  <si>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</si>
  <si>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</si>
  <si>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</si>
  <si>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</si>
  <si>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</si>
  <si>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</si>
  <si>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</si>
  <si>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</si>
  <si>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</si>
  <si>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</si>
  <si>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</si>
  <si>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</si>
  <si>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</si>
  <si>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</si>
  <si>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</si>
  <si>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</si>
  <si>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</si>
  <si>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</si>
  <si>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</si>
  <si>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</si>
  <si>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</si>
  <si>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</si>
  <si>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</si>
  <si>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</si>
  <si>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</si>
  <si>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</si>
  <si>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</si>
  <si>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</si>
  <si>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</si>
  <si>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</si>
  <si>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</si>
  <si>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</si>
  <si>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</si>
  <si>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</si>
  <si>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</si>
  <si>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</si>
  <si>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</si>
  <si>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</si>
  <si>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</si>
  <si>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</si>
  <si>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</si>
  <si>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</si>
  <si>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</si>
  <si>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</si>
  <si>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</si>
  <si>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</si>
  <si>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</si>
  <si>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</si>
  <si>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</si>
  <si>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</si>
  <si>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</si>
  <si>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</si>
  <si>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</si>
  <si>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</si>
  <si>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</si>
  <si>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</si>
  <si>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</si>
  <si>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</si>
  <si>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</si>
  <si>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</si>
  <si>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</si>
  <si>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</si>
  <si>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</si>
  <si>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</si>
  <si>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</si>
  <si>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</si>
  <si>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</si>
  <si>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</si>
  <si>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</si>
  <si>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</si>
  <si>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</si>
  <si>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</si>
  <si>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</si>
  <si>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</si>
  <si>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</si>
  <si>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</si>
  <si>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</si>
  <si>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</si>
  <si>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</si>
  <si>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</si>
  <si>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</si>
  <si>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</si>
  <si>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</si>
  <si>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</si>
  <si>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</si>
  <si>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</si>
  <si>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</si>
  <si>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</si>
  <si>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</si>
  <si>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</si>
  <si>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</si>
  <si>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</si>
  <si>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</si>
  <si>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</si>
  <si>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</si>
  <si>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</si>
  <si>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</si>
  <si>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</si>
  <si>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</si>
  <si>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</si>
  <si>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</si>
  <si>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</si>
  <si>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</si>
  <si>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</si>
  <si>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</si>
  <si>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</si>
  <si>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</si>
  <si>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</si>
  <si>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</si>
  <si>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</si>
  <si>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</si>
  <si>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</si>
  <si>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</si>
  <si>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</si>
  <si>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</si>
  <si>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</si>
  <si>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</si>
  <si>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</si>
  <si>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</si>
  <si>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</si>
  <si>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</si>
  <si>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</si>
  <si>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</si>
  <si>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</si>
  <si>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</si>
  <si>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</si>
  <si>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</si>
  <si>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</si>
  <si>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</si>
  <si>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</si>
  <si>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</si>
  <si>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</si>
  <si>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</si>
  <si>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</si>
  <si>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</si>
  <si>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</si>
  <si>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</si>
  <si>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</si>
  <si>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</si>
  <si>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</si>
  <si>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</si>
  <si>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</si>
  <si>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</si>
  <si>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</si>
  <si>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</si>
  <si>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</si>
  <si>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</si>
  <si>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</si>
  <si>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</si>
  <si>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</si>
  <si>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</si>
  <si>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</si>
  <si>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</si>
  <si>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</si>
  <si>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</si>
  <si>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</si>
  <si>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</si>
  <si>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</si>
  <si>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</si>
  <si>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</si>
  <si>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</si>
  <si>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</si>
  <si>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</si>
  <si>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</si>
  <si>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</si>
  <si>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</si>
  <si>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</si>
  <si>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</si>
  <si>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</si>
  <si>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</si>
  <si>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</si>
  <si>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</si>
  <si>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</si>
  <si>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</si>
  <si>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</si>
  <si>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</si>
  <si>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</si>
  <si>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</si>
  <si>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</si>
  <si>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</si>
  <si>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</si>
  <si>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</si>
  <si>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</si>
  <si>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</si>
  <si>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</si>
  <si>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</si>
  <si>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</si>
  <si>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</si>
  <si>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</si>
  <si>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</si>
  <si>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</si>
  <si>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</si>
  <si>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</si>
  <si>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</si>
  <si>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</si>
  <si>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</si>
  <si>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</si>
  <si>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</si>
  <si>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</si>
  <si>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</si>
  <si>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</si>
  <si>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</si>
  <si>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</si>
  <si>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</si>
  <si>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</si>
  <si>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</si>
  <si>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</si>
  <si>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</si>
  <si>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</si>
  <si>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</si>
  <si>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</si>
  <si>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</si>
  <si>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</si>
  <si>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</si>
  <si>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</si>
  <si>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</si>
  <si>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</si>
  <si>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</si>
  <si>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</si>
  <si>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</si>
  <si>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</si>
  <si>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</si>
  <si>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</si>
  <si>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</si>
  <si>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</si>
  <si>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</si>
  <si>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</si>
  <si>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</si>
  <si>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</si>
  <si>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</si>
  <si>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</si>
  <si>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</si>
  <si>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</si>
  <si>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</si>
  <si>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</si>
  <si>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</si>
  <si>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</si>
  <si>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</si>
  <si>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</si>
  <si>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</si>
  <si>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</si>
  <si>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</si>
  <si>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</si>
  <si>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</si>
  <si>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</si>
  <si>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</si>
  <si>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</si>
  <si>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</si>
  <si>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</si>
  <si>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</si>
  <si>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</si>
  <si>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</si>
  <si>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</si>
  <si>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</si>
  <si>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</si>
  <si>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</si>
  <si>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</si>
  <si>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</si>
  <si>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</si>
  <si>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</si>
  <si>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</si>
  <si>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</si>
  <si>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</si>
  <si>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</si>
  <si>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</si>
  <si>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</si>
  <si>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</si>
  <si>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</si>
  <si>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</si>
  <si>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</si>
  <si>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</si>
  <si>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</si>
  <si>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</si>
  <si>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</si>
  <si>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</si>
  <si>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</si>
  <si>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</si>
  <si>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</si>
  <si>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</si>
  <si>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</si>
  <si>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</si>
  <si>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</si>
  <si>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</si>
  <si>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</si>
  <si>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</si>
  <si>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</si>
  <si>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</si>
  <si>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</si>
  <si>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</si>
  <si>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</si>
  <si>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</si>
  <si>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</si>
  <si>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</si>
  <si>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</si>
  <si>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</si>
  <si>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</si>
  <si>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</si>
  <si>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</si>
  <si>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</si>
  <si>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</si>
  <si>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</si>
  <si>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</si>
  <si>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</si>
  <si>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</si>
  <si>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</si>
  <si>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</si>
  <si>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</si>
  <si>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</si>
  <si>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</si>
  <si>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</si>
  <si>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</si>
  <si>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</si>
  <si>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</si>
  <si>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</si>
  <si>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</si>
  <si>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</si>
  <si>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</si>
  <si>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</si>
  <si>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</si>
  <si>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</si>
  <si>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</si>
  <si>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</si>
  <si>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</si>
  <si>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</si>
  <si>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</si>
  <si>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</si>
  <si>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</si>
  <si>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</si>
  <si>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</si>
  <si>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</si>
  <si>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</si>
  <si>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</si>
  <si>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</si>
  <si>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</si>
  <si>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</si>
  <si>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</si>
  <si>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</si>
  <si>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</si>
  <si>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</si>
  <si>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</si>
  <si>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</si>
  <si>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</si>
  <si>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</si>
  <si>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</si>
  <si>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</si>
  <si>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</si>
  <si>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</si>
  <si>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</si>
  <si>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</si>
  <si>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</si>
  <si>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</si>
  <si>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</si>
  <si>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</si>
  <si>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</si>
  <si>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</si>
  <si>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</si>
  <si>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</si>
  <si>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</si>
  <si>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</si>
  <si>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</si>
  <si>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</si>
  <si>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</si>
  <si>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</si>
  <si>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</si>
  <si>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</si>
  <si>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</si>
  <si>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</si>
  <si>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</si>
  <si>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</si>
  <si>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</si>
  <si>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</si>
  <si>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</si>
  <si>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</si>
  <si>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</si>
  <si>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</si>
  <si>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</si>
  <si>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</si>
  <si>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</si>
  <si>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</si>
  <si>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</si>
  <si>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</si>
  <si>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</si>
  <si>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</si>
  <si>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</si>
  <si>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</si>
  <si>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</si>
  <si>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</si>
  <si>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</si>
  <si>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</si>
  <si>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</si>
  <si>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</si>
  <si>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</si>
  <si>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</si>
  <si>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</si>
  <si>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</si>
  <si>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</si>
  <si>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</si>
  <si>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</si>
  <si>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</si>
  <si>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</si>
  <si>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</si>
  <si>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</si>
  <si>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</si>
  <si>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</si>
  <si>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</si>
  <si>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</si>
  <si>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</si>
  <si>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</si>
  <si>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</si>
  <si>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</si>
  <si>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</si>
  <si>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</si>
  <si>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</si>
  <si>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</si>
  <si>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</si>
  <si>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</si>
  <si>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</si>
  <si>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</si>
  <si>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</si>
  <si>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</si>
  <si>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</si>
  <si>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</si>
  <si>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</si>
  <si>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</si>
  <si>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</si>
  <si>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</si>
  <si>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</si>
  <si>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</si>
  <si>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</si>
  <si>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</si>
  <si>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</si>
  <si>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</si>
  <si>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</si>
  <si>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</si>
  <si>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</si>
  <si>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</si>
  <si>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</si>
  <si>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</si>
  <si>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</si>
  <si>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</si>
  <si>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</si>
  <si>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</si>
  <si>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</si>
  <si>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</si>
  <si>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</si>
  <si>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</si>
  <si>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</si>
  <si>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</si>
  <si>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</si>
  <si>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</si>
  <si>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</si>
  <si>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</si>
  <si>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</si>
  <si>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</si>
  <si>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</si>
  <si>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</si>
  <si>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</si>
  <si>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</si>
  <si>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</si>
  <si>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</si>
  <si>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</si>
  <si>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</si>
  <si>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</si>
  <si>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</si>
  <si>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</si>
  <si>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</si>
  <si>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</si>
  <si>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</si>
  <si>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</si>
  <si>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</si>
  <si>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</si>
  <si>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</si>
  <si>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</si>
  <si>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</si>
  <si>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</si>
  <si>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</si>
  <si>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</si>
  <si>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</si>
  <si>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</si>
  <si>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</si>
  <si>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</si>
  <si>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</si>
  <si>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</si>
  <si>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</si>
  <si>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</si>
  <si>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</si>
  <si>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</si>
  <si>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</si>
  <si>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</si>
  <si>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</si>
  <si>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</si>
  <si>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</si>
  <si>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</si>
  <si>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</si>
  <si>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</si>
  <si>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</si>
  <si>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</si>
  <si>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</si>
  <si>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</si>
  <si>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</si>
  <si>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</si>
  <si>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</si>
  <si>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</si>
  <si>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</si>
  <si>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</si>
  <si>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</si>
  <si>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</si>
  <si>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</si>
  <si>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</si>
  <si>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</si>
  <si>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</si>
  <si>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</si>
  <si>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</si>
  <si>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</si>
  <si>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</si>
  <si>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</si>
  <si>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</si>
  <si>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</si>
  <si>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</si>
  <si>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</si>
  <si>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</si>
  <si>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</si>
  <si>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</si>
  <si>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</si>
  <si>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</si>
  <si>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</si>
  <si>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</si>
  <si>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</si>
  <si>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</si>
  <si>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</si>
  <si>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</si>
  <si>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</si>
  <si>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</si>
  <si>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</si>
  <si>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</si>
  <si>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</si>
  <si>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</si>
  <si>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</si>
  <si>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</si>
  <si>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</si>
  <si>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</si>
  <si>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</si>
  <si>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</si>
  <si>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</si>
  <si>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</si>
  <si>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</si>
  <si>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</si>
  <si>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</si>
  <si>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</si>
  <si>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</si>
  <si>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</si>
  <si>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</si>
  <si>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</si>
  <si>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</si>
  <si>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</si>
  <si>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</si>
  <si>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</si>
  <si>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</si>
  <si>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</si>
  <si>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</si>
  <si>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</si>
  <si>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</si>
  <si>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</si>
  <si>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</si>
  <si>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</si>
  <si>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</si>
  <si>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</si>
  <si>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</si>
  <si>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</si>
  <si>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</si>
  <si>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</si>
  <si>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</si>
  <si>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</si>
  <si>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</si>
  <si>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</si>
  <si>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</si>
  <si>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</si>
  <si>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</si>
  <si>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</si>
  <si>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</si>
  <si>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</si>
  <si>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</si>
  <si>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</si>
  <si>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</si>
  <si>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</si>
  <si>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</si>
  <si>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</si>
  <si>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</si>
  <si>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</si>
  <si>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</si>
  <si>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</si>
  <si>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</si>
  <si>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</si>
  <si>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</si>
  <si>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</si>
  <si>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</si>
  <si>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</si>
  <si>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</si>
  <si>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</si>
  <si>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</si>
  <si>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</si>
  <si>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</si>
  <si>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</si>
  <si>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</si>
  <si>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</si>
  <si>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</si>
  <si>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</si>
  <si>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</si>
  <si>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</si>
  <si>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</si>
  <si>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</si>
  <si>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</si>
  <si>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</si>
  <si>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</si>
  <si>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</si>
  <si>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</si>
  <si>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</si>
  <si>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</si>
  <si>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</si>
  <si>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</si>
  <si>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</si>
  <si>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</si>
  <si>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</si>
  <si>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</si>
  <si>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</si>
  <si>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</si>
  <si>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</si>
  <si>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</si>
  <si>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</si>
  <si>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</si>
  <si>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</si>
  <si>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</si>
  <si>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</si>
  <si>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</si>
  <si>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</si>
  <si>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</si>
  <si>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</si>
  <si>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</si>
  <si>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</si>
  <si>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</si>
  <si>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</si>
  <si>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</si>
  <si>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</si>
  <si>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</si>
  <si>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</si>
  <si>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</si>
  <si>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</si>
  <si>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</si>
  <si>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</si>
  <si>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</si>
  <si>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</si>
  <si>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</si>
  <si>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</si>
  <si>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</si>
  <si>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</si>
  <si>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</si>
  <si>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</si>
  <si>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</si>
  <si>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</si>
  <si>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</si>
  <si>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</si>
  <si>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</si>
  <si>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</si>
  <si>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</si>
  <si>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</si>
  <si>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</si>
  <si>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</si>
  <si>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</si>
  <si>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</si>
  <si>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</si>
  <si>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</si>
  <si>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</si>
  <si>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</si>
  <si>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</si>
  <si>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</si>
  <si>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</si>
  <si>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</si>
  <si>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</si>
  <si>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</si>
  <si>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</si>
  <si>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</si>
  <si>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</si>
  <si>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</si>
  <si>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</si>
  <si>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</si>
  <si>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</si>
  <si>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</si>
  <si>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</si>
  <si>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</si>
  <si>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</si>
  <si>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</si>
  <si>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</si>
  <si>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</si>
  <si>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</si>
  <si>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</si>
  <si>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</si>
  <si>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</si>
  <si>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</si>
  <si>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</si>
  <si>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</si>
  <si>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</si>
  <si>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</si>
  <si>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</si>
  <si>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</si>
  <si>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</si>
  <si>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</si>
  <si>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</si>
  <si>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</si>
  <si>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</si>
  <si>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</si>
  <si>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</si>
  <si>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</si>
  <si>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</si>
  <si>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</si>
  <si>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</si>
  <si>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</si>
  <si>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</si>
  <si>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</si>
  <si>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</si>
  <si>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</si>
  <si>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</si>
  <si>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</si>
  <si>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</si>
  <si>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</si>
  <si>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</si>
  <si>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</si>
  <si>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</si>
  <si>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</si>
  <si>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</si>
  <si>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</si>
  <si>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</si>
  <si>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</si>
  <si>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</si>
  <si>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</si>
  <si>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</si>
  <si>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</si>
  <si>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</si>
  <si>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</si>
  <si>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</si>
  <si>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</si>
  <si>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</si>
  <si>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</si>
  <si>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</si>
  <si>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</si>
  <si>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</si>
  <si>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</si>
  <si>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</si>
  <si>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</si>
  <si>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</si>
  <si>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</si>
  <si>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</si>
  <si>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</si>
  <si>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</si>
  <si>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</si>
  <si>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</si>
  <si>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</si>
  <si>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</si>
  <si>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</si>
  <si>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</si>
  <si>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</si>
  <si>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</si>
  <si>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</si>
  <si>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</si>
  <si>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</si>
  <si>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</si>
  <si>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</si>
  <si>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</si>
  <si>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</si>
  <si>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</si>
  <si>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</si>
  <si>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</si>
  <si>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</si>
  <si>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</si>
  <si>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</si>
  <si>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</si>
  <si>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</si>
  <si>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</si>
  <si>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</si>
  <si>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</si>
  <si>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</si>
  <si>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</si>
  <si>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</si>
  <si>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</si>
  <si>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</si>
  <si>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</si>
  <si>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</si>
  <si>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</si>
  <si>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</si>
  <si>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</si>
  <si>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</si>
  <si>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</si>
  <si>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</si>
  <si>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</si>
  <si>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</si>
  <si>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</si>
  <si>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</si>
  <si>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</si>
  <si>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</si>
  <si>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</si>
  <si>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</si>
  <si>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</si>
  <si>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</si>
  <si>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</si>
  <si>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</si>
  <si>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</si>
  <si>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</si>
  <si>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</si>
  <si>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</si>
  <si>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</si>
  <si>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</si>
  <si>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</si>
  <si>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</si>
  <si>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</si>
  <si>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</si>
  <si>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</si>
  <si>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</si>
  <si>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</si>
  <si>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</si>
  <si>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</si>
  <si>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</si>
  <si>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</si>
  <si>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</si>
  <si>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</si>
  <si>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</si>
  <si>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</si>
  <si>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</si>
  <si>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</si>
  <si>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</si>
  <si>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</si>
  <si>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</si>
  <si>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</si>
  <si>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</si>
  <si>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</si>
  <si>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</si>
  <si>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</si>
  <si>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</si>
  <si>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</si>
  <si>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</si>
  <si>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</si>
  <si>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</si>
  <si>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</si>
  <si>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</si>
  <si>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</si>
  <si>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</si>
  <si>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</si>
  <si>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</si>
  <si>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</si>
  <si>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</si>
  <si>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</si>
  <si>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</si>
  <si>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</si>
  <si>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</si>
  <si>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</si>
  <si>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</si>
  <si>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</si>
  <si>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</si>
  <si>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</si>
  <si>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</si>
  <si>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</si>
  <si>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</si>
  <si>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</si>
  <si>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</si>
  <si>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</si>
  <si>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</si>
  <si>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</si>
  <si>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</si>
  <si>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</si>
  <si>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</si>
  <si>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</si>
  <si>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</si>
  <si>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</si>
  <si>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</si>
  <si>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</si>
  <si>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</si>
  <si>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</si>
  <si>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</si>
  <si>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</si>
  <si>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</si>
  <si>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</si>
  <si>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</si>
  <si>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</si>
  <si>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</si>
  <si>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</si>
  <si>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</si>
  <si>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</si>
  <si>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</si>
  <si>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</si>
  <si>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</si>
  <si>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</si>
  <si>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</si>
  <si>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</si>
  <si>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</si>
  <si>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</si>
  <si>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</si>
  <si>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</si>
  <si>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</si>
  <si>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</si>
  <si>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</si>
  <si>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</si>
  <si>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</si>
  <si>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</si>
  <si>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</si>
  <si>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</si>
  <si>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</si>
  <si>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</si>
  <si>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</si>
  <si>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</si>
  <si>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</si>
  <si>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</si>
  <si>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</si>
  <si>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</si>
  <si>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</si>
  <si>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</si>
  <si>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</si>
  <si>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</si>
  <si>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</si>
  <si>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</si>
  <si>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</si>
  <si>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</si>
  <si>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</si>
  <si>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</si>
  <si>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</si>
  <si>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</si>
  <si>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</si>
  <si>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</si>
  <si>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</si>
  <si>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</si>
  <si>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</si>
  <si>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</si>
  <si>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</si>
  <si>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</si>
  <si>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</si>
  <si>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</si>
  <si>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</si>
  <si>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</si>
  <si>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</si>
  <si>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</si>
  <si>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</si>
  <si>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</si>
  <si>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</si>
  <si>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</si>
  <si>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</si>
  <si>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</si>
  <si>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</si>
  <si>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</si>
  <si>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</si>
  <si>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</si>
  <si>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</si>
  <si>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</si>
  <si>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</si>
  <si>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</si>
  <si>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</si>
  <si>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</si>
  <si>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</si>
  <si>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</si>
  <si>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</si>
  <si>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</si>
  <si>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</si>
  <si>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</si>
  <si>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</si>
  <si>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</si>
  <si>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</si>
  <si>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</si>
  <si>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</si>
  <si>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</si>
  <si>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</si>
  <si>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</si>
  <si>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</si>
  <si>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</si>
  <si>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</si>
  <si>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</si>
  <si>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</si>
  <si>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</si>
  <si>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</si>
  <si>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</si>
  <si>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</si>
  <si>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</si>
  <si>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</si>
  <si>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</si>
  <si>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</si>
  <si>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</si>
  <si>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</si>
  <si>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</si>
  <si>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</si>
  <si>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</si>
  <si>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</si>
  <si>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</si>
  <si>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</si>
  <si>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</si>
  <si>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</si>
  <si>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</si>
  <si>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</si>
  <si>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</si>
  <si>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</si>
  <si>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</si>
  <si>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</si>
  <si>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</si>
  <si>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</si>
  <si>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</si>
  <si>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</si>
  <si>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</si>
  <si>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</si>
  <si>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</si>
  <si>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</si>
  <si>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</si>
  <si>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</si>
  <si>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</si>
  <si>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</si>
  <si>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</si>
  <si>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</si>
  <si>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</si>
  <si>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</si>
  <si>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</si>
  <si>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</si>
  <si>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</si>
  <si>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</si>
  <si>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</si>
  <si>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</si>
  <si>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</si>
  <si>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</si>
  <si>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</si>
  <si>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</si>
  <si>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</si>
  <si>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</si>
  <si>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</si>
  <si>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</si>
  <si>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</si>
  <si>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</si>
  <si>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</si>
  <si>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</si>
  <si>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</si>
  <si>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</si>
  <si>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</si>
  <si>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</si>
  <si>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</si>
  <si>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</si>
  <si>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</si>
  <si>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</si>
  <si>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</si>
  <si>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</si>
  <si>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</si>
  <si>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</si>
  <si>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</si>
  <si>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</si>
  <si>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</si>
  <si>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</si>
  <si>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</si>
  <si>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</si>
  <si>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</si>
  <si>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</si>
  <si>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</si>
  <si>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</si>
  <si>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</si>
  <si>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</si>
  <si>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</si>
  <si>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</si>
  <si>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</si>
  <si>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</si>
  <si>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</si>
  <si>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</si>
  <si>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</si>
  <si>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</si>
  <si>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</si>
  <si>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</si>
  <si>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</si>
  <si>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</si>
  <si>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</si>
  <si>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</si>
  <si>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</si>
  <si>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</si>
  <si>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</si>
  <si>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</si>
  <si>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</si>
  <si>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</si>
  <si>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</si>
  <si>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</si>
  <si>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</si>
  <si>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</si>
  <si>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</si>
  <si>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</si>
  <si>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</si>
  <si>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</si>
  <si>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</si>
  <si>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</si>
  <si>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</si>
  <si>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</si>
  <si>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</si>
  <si>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</si>
  <si>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</si>
  <si>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</si>
  <si>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</si>
  <si>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</si>
  <si>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</si>
  <si>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</si>
  <si>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</si>
  <si>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</si>
  <si>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</si>
  <si>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</si>
  <si>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</si>
  <si>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</si>
  <si>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</si>
  <si>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</si>
  <si>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</si>
  <si>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</si>
  <si>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</si>
  <si>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</si>
  <si>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</si>
  <si>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</si>
  <si>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</si>
  <si>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</si>
  <si>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</si>
  <si>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</si>
  <si>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</si>
  <si>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</si>
  <si>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</si>
  <si>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</si>
  <si>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</si>
  <si>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</si>
  <si>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</si>
  <si>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</si>
  <si>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</si>
  <si>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</si>
  <si>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</si>
  <si>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</si>
  <si>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</si>
  <si>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</si>
  <si>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</si>
  <si>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</si>
  <si>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</si>
  <si>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</si>
  <si>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</si>
  <si>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</si>
  <si>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</si>
  <si>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</si>
  <si>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</si>
  <si>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</si>
  <si>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</si>
  <si>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</si>
  <si>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</si>
  <si>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</si>
  <si>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</si>
  <si>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</si>
  <si>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</si>
  <si>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</si>
  <si>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</si>
  <si>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</si>
  <si>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</si>
  <si>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</si>
  <si>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</si>
  <si>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</si>
  <si>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</si>
  <si>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</si>
  <si>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</si>
  <si>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</si>
  <si>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</si>
  <si>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</si>
  <si>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</si>
  <si>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</si>
  <si>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</si>
  <si>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</si>
  <si>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</si>
  <si>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</si>
  <si>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</si>
  <si>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</si>
  <si>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</si>
  <si>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</si>
  <si>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</si>
  <si>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</si>
  <si>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</si>
  <si>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</si>
  <si>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</si>
  <si>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</si>
  <si>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</si>
  <si>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</si>
  <si>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</si>
  <si>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</si>
  <si>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</si>
  <si>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</si>
  <si>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</si>
  <si>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</si>
  <si>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</si>
  <si>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</si>
  <si>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</si>
  <si>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</si>
  <si>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</si>
  <si>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</si>
  <si>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</si>
  <si>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</si>
  <si>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</si>
  <si>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</si>
  <si>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</si>
  <si>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</si>
  <si>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</si>
  <si>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</si>
  <si>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</si>
  <si>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</si>
  <si>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</si>
  <si>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</si>
  <si>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</si>
  <si>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</si>
  <si>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</si>
  <si>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</si>
  <si>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</si>
  <si>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</si>
  <si>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</si>
  <si>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</si>
  <si>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</si>
  <si>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</si>
  <si>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</si>
  <si>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</si>
  <si>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</si>
  <si>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</si>
  <si>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</si>
  <si>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</si>
  <si>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</si>
  <si>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</si>
  <si>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</si>
  <si>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</si>
  <si>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</si>
  <si>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</si>
  <si>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</si>
  <si>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</si>
  <si>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</si>
  <si>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</si>
  <si>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</si>
  <si>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</si>
  <si>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</si>
  <si>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</si>
  <si>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</si>
  <si>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</si>
  <si>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</si>
  <si>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</si>
  <si>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</si>
  <si>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</si>
  <si>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</si>
  <si>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</si>
  <si>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</si>
  <si>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</si>
  <si>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</si>
  <si>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</si>
  <si>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</si>
  <si>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</si>
  <si>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</si>
  <si>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</si>
  <si>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</si>
  <si>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</si>
  <si>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</si>
  <si>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</si>
  <si>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</si>
  <si>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</si>
  <si>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</si>
  <si>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</si>
  <si>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</si>
  <si>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</si>
  <si>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</si>
  <si>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</si>
  <si>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</si>
  <si>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</si>
  <si>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</si>
  <si>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</si>
  <si>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</si>
  <si>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</si>
  <si>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</si>
  <si>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</si>
  <si>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</si>
  <si>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</si>
  <si>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</si>
  <si>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</si>
  <si>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</si>
  <si>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</si>
  <si>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</si>
  <si>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</si>
  <si>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</si>
  <si>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</si>
  <si>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</si>
  <si>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</si>
  <si>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</si>
  <si>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</si>
  <si>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</si>
  <si>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</si>
  <si>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</si>
  <si>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</si>
  <si>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</si>
  <si>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</si>
  <si>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</si>
  <si>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</si>
  <si>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</si>
  <si>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</si>
  <si>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</si>
  <si>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</si>
  <si>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</si>
  <si>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</si>
  <si>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</si>
  <si>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</si>
  <si>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</si>
  <si>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</si>
  <si>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</si>
  <si>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</si>
  <si>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</si>
  <si>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</si>
  <si>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</si>
  <si>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</si>
  <si>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</si>
  <si>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</si>
  <si>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</si>
  <si>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</si>
  <si>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</si>
  <si>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</si>
  <si>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</si>
  <si>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</si>
  <si>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</si>
  <si>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</si>
  <si>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</si>
  <si>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</si>
  <si>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</si>
  <si>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</si>
  <si>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</si>
  <si>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</si>
  <si>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</si>
  <si>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</si>
  <si>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</si>
  <si>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</si>
  <si>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</si>
  <si>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</si>
  <si>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</si>
  <si>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</si>
  <si>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</si>
  <si>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</si>
  <si>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</si>
  <si>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</si>
  <si>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</si>
  <si>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</si>
  <si>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</si>
  <si>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</si>
  <si>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</si>
  <si>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</si>
  <si>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</si>
  <si>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</si>
  <si>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</si>
  <si>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</si>
  <si>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</si>
  <si>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</si>
  <si>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</si>
  <si>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</si>
  <si>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</si>
  <si>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</si>
  <si>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</si>
  <si>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</si>
  <si>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</si>
  <si>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</si>
  <si>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</si>
  <si>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</si>
  <si>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</si>
  <si>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</si>
  <si>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</si>
  <si>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</si>
  <si>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</si>
  <si>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</si>
  <si>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</si>
  <si>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</si>
  <si>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</si>
  <si>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</si>
  <si>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</si>
  <si>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</si>
  <si>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</si>
  <si>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</si>
  <si>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</si>
  <si>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</si>
  <si>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</si>
  <si>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</si>
  <si>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</si>
  <si>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</si>
  <si>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</si>
  <si>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</si>
  <si>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</si>
  <si>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</si>
  <si>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</si>
  <si>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</si>
  <si>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</si>
  <si>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</si>
  <si>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</si>
  <si>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</si>
  <si>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</si>
  <si>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</si>
  <si>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</si>
  <si>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</si>
  <si>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</si>
  <si>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</si>
  <si>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</si>
  <si>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</si>
  <si>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</si>
  <si>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</si>
  <si>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</si>
  <si>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</si>
  <si>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</si>
  <si>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</si>
  <si>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</si>
  <si>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</si>
  <si>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</si>
  <si>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</si>
  <si>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</si>
  <si>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</si>
  <si>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</si>
  <si>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</si>
  <si>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</si>
  <si>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</si>
  <si>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</si>
  <si>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</si>
  <si>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</si>
  <si>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</si>
  <si>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</si>
  <si>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</si>
  <si>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</si>
  <si>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</si>
  <si>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</si>
  <si>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</si>
  <si>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</si>
  <si>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</si>
  <si>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</si>
  <si>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</si>
  <si>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</si>
  <si>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</si>
  <si>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</si>
  <si>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</si>
  <si>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</si>
  <si>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</si>
  <si>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</si>
  <si>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</si>
  <si>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</si>
  <si>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</si>
  <si>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</si>
  <si>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</si>
  <si>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</si>
  <si>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</si>
  <si>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</si>
  <si>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</si>
  <si>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</si>
  <si>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</si>
  <si>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</si>
  <si>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</si>
  <si>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</si>
  <si>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</si>
  <si>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</si>
  <si>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</si>
  <si>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</si>
  <si>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</si>
  <si>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</si>
  <si>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</si>
  <si>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</si>
  <si>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</si>
  <si>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</si>
  <si>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</si>
  <si>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</si>
  <si>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</si>
  <si>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</si>
  <si>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</si>
  <si>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</si>
  <si>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</si>
  <si>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</si>
  <si>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</si>
  <si>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</si>
  <si>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</si>
  <si>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</si>
  <si>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</si>
  <si>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</si>
  <si>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</si>
  <si>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</si>
  <si>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</si>
  <si>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</si>
  <si>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</si>
  <si>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</si>
  <si>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</si>
  <si>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</si>
  <si>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</si>
  <si>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</si>
  <si>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</si>
  <si>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</si>
  <si>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</si>
  <si>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</si>
  <si>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</si>
  <si>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</si>
  <si>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</si>
  <si>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</si>
  <si>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</si>
  <si>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</si>
  <si>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</si>
  <si>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</si>
  <si>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</si>
  <si>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</si>
  <si>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</si>
  <si>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</si>
  <si>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</si>
  <si>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</si>
  <si>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</si>
  <si>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</si>
  <si>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</si>
  <si>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</si>
  <si>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</si>
  <si>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</si>
  <si>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</si>
  <si>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</si>
  <si>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</si>
  <si>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</si>
  <si>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</si>
  <si>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</si>
  <si>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</si>
  <si>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</si>
  <si>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</si>
  <si>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</si>
  <si>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</si>
  <si>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</si>
  <si>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</si>
  <si>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</si>
  <si>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</si>
  <si>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</si>
  <si>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</si>
  <si>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</si>
  <si>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</si>
  <si>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</si>
  <si>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</si>
  <si>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</si>
  <si>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</si>
  <si>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</si>
  <si>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</si>
  <si>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</si>
  <si>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</si>
  <si>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</si>
  <si>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</si>
  <si>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</si>
  <si>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</si>
  <si>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</si>
  <si>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</si>
  <si>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</si>
  <si>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</si>
  <si>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</si>
  <si>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</si>
  <si>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</si>
  <si>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</si>
  <si>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</si>
  <si>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</si>
  <si>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</si>
  <si>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</si>
  <si>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</si>
  <si>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</si>
  <si>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</si>
  <si>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</si>
  <si>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</si>
  <si>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</si>
  <si>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</si>
  <si>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</si>
  <si>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</si>
  <si>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</si>
  <si>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</si>
  <si>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</si>
  <si>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</si>
  <si>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</si>
  <si>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</si>
  <si>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</si>
  <si>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</si>
  <si>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</si>
  <si>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</si>
  <si>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</si>
  <si>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</si>
  <si>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</si>
  <si>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</si>
  <si>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</si>
  <si>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</si>
  <si>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</si>
  <si>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</si>
  <si>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</si>
  <si>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</si>
  <si>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</si>
  <si>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</si>
  <si>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</si>
  <si>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</si>
  <si>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</si>
  <si>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</si>
  <si>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</si>
  <si>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</si>
  <si>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</si>
  <si>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</si>
  <si>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</si>
  <si>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</si>
  <si>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</si>
  <si>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</si>
  <si>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</si>
  <si>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</si>
  <si>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</si>
  <si>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</si>
  <si>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</si>
  <si>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</si>
  <si>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</si>
  <si>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</si>
  <si>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</si>
  <si>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</si>
  <si>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</si>
  <si>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</si>
  <si>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</si>
  <si>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</si>
  <si>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</si>
  <si>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</si>
  <si>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</si>
  <si>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</si>
  <si>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</si>
  <si>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</si>
  <si>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</si>
  <si>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</si>
  <si>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</si>
  <si>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</si>
  <si>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</si>
  <si>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</si>
  <si>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</si>
  <si>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</si>
  <si>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</si>
  <si>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</si>
  <si>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</si>
  <si>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</si>
  <si>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</si>
  <si>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</si>
  <si>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</si>
  <si>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</si>
  <si>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</si>
  <si>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</si>
  <si>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</si>
  <si>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</si>
  <si>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</si>
  <si>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</si>
  <si>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</si>
  <si>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</si>
  <si>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</si>
  <si>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</si>
  <si>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</si>
  <si>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</si>
  <si>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</si>
  <si>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</si>
  <si>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</si>
  <si>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</si>
  <si>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</si>
  <si>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</si>
  <si>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</si>
  <si>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</si>
  <si>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</si>
  <si>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</si>
  <si>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</si>
  <si>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</si>
  <si>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</si>
  <si>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</si>
  <si>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</si>
  <si>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</si>
  <si>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</si>
  <si>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</si>
  <si>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</si>
  <si>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</si>
  <si>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</si>
  <si>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</si>
  <si>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</si>
  <si>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</si>
  <si>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</si>
  <si>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</si>
  <si>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</si>
  <si>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</si>
  <si>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</si>
  <si>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</si>
  <si>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</si>
  <si>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</si>
  <si>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</si>
  <si>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</si>
  <si>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</si>
  <si>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</si>
  <si>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</si>
  <si>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</si>
  <si>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</si>
  <si>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</si>
  <si>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</si>
  <si>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</si>
  <si>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</si>
  <si>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</si>
  <si>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</si>
  <si>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</si>
  <si>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</si>
  <si>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</si>
  <si>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</si>
  <si>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</si>
  <si>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</si>
  <si>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</si>
  <si>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</si>
  <si>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</si>
  <si>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</si>
  <si>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</si>
  <si>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</si>
  <si>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</si>
  <si>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</si>
  <si>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</si>
  <si>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</si>
  <si>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</si>
  <si>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</si>
  <si>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</si>
  <si>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</si>
  <si>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</si>
  <si>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</si>
  <si>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</si>
  <si>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</si>
  <si>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</si>
  <si>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</si>
  <si>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</si>
  <si>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</si>
  <si>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</si>
  <si>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</si>
  <si>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</si>
  <si>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</si>
  <si>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</si>
  <si>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</si>
  <si>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</si>
  <si>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</si>
  <si>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</si>
  <si>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</si>
  <si>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</si>
  <si>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</si>
  <si>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</si>
  <si>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</si>
  <si>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</si>
  <si>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</si>
  <si>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</si>
  <si>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</si>
  <si>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</si>
  <si>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</si>
  <si>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</si>
  <si>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</si>
  <si>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</si>
  <si>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</si>
  <si>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</si>
  <si>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</si>
  <si>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</si>
  <si>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</si>
  <si>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</si>
  <si>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</si>
  <si>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</si>
  <si>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</si>
  <si>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</si>
  <si>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</si>
  <si>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</si>
  <si>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</si>
  <si>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</si>
  <si>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</si>
  <si>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</si>
  <si>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</si>
  <si>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</si>
  <si>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</si>
  <si>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</si>
  <si>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</si>
  <si>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</si>
  <si>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</si>
  <si>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</si>
  <si>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</si>
  <si>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</si>
  <si>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</si>
  <si>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</si>
  <si>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</si>
  <si>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</si>
  <si>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</si>
  <si>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</si>
  <si>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</si>
  <si>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</si>
  <si>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</si>
  <si>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</si>
  <si>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</si>
  <si>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</si>
  <si>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</si>
  <si>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</si>
  <si>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</si>
  <si>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</si>
  <si>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</si>
  <si>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</si>
  <si>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</si>
  <si>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</si>
  <si>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</si>
  <si>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</si>
  <si>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</si>
  <si>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</si>
  <si>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</si>
  <si>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</si>
  <si>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</si>
  <si>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</si>
  <si>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</si>
  <si>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</si>
  <si>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</si>
  <si>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</si>
  <si>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</si>
  <si>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</si>
  <si>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</si>
  <si>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</si>
  <si>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</si>
  <si>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</si>
  <si>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</si>
  <si>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</si>
  <si>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</si>
  <si>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</si>
  <si>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</si>
  <si>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</si>
  <si>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</si>
  <si>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</si>
  <si>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</si>
  <si>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</si>
  <si>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</si>
  <si>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</si>
  <si>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</si>
  <si>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</si>
  <si>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</si>
  <si>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</si>
  <si>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</si>
  <si>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</si>
  <si>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</si>
  <si>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</si>
  <si>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</si>
  <si>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</si>
  <si>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</si>
  <si>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</si>
  <si>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</si>
  <si>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</si>
  <si>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</si>
  <si>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</si>
  <si>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</si>
  <si>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</si>
  <si>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</si>
  <si>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</si>
  <si>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</si>
  <si>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</si>
  <si>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</si>
  <si>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</si>
  <si>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</si>
  <si>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</si>
  <si>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</si>
  <si>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</si>
  <si>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</si>
  <si>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</si>
  <si>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</si>
  <si>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</si>
  <si>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</si>
  <si>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</si>
  <si>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</si>
  <si>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</si>
  <si>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</si>
  <si>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</si>
  <si>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</si>
  <si>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</si>
  <si>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</si>
  <si>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</si>
  <si>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</si>
  <si>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</si>
  <si>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</si>
  <si>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</si>
  <si>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</si>
  <si>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</si>
  <si>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</si>
  <si>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</si>
  <si>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</si>
  <si>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</si>
  <si>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</si>
  <si>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</si>
  <si>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</si>
  <si>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</si>
  <si>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</si>
  <si>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</si>
  <si>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</si>
  <si>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</si>
  <si>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</si>
  <si>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</si>
  <si>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</si>
  <si>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</si>
  <si>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</si>
  <si>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</si>
  <si>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</si>
  <si>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</si>
  <si>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</si>
  <si>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</si>
  <si>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</si>
  <si>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</si>
  <si>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</si>
  <si>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</si>
  <si>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</si>
  <si>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</si>
  <si>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</si>
  <si>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</si>
  <si>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</si>
  <si>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</si>
  <si>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</si>
  <si>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</si>
  <si>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</si>
  <si>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</si>
  <si>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</si>
  <si>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</si>
  <si>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</si>
  <si>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</si>
  <si>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</si>
  <si>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</si>
  <si>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</si>
  <si>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</si>
  <si>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</si>
  <si>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</si>
  <si>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</si>
  <si>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</si>
  <si>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</si>
  <si>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</si>
  <si>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</si>
  <si>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</si>
  <si>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</si>
  <si>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</si>
  <si>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</si>
  <si>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</si>
  <si>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</si>
  <si>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</si>
  <si>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</si>
  <si>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</si>
  <si>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</si>
  <si>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</si>
  <si>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</si>
  <si>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</si>
  <si>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</si>
  <si>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</si>
  <si>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</si>
  <si>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</si>
  <si>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</si>
  <si>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</si>
  <si>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</si>
  <si>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</si>
  <si>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</si>
  <si>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</si>
  <si>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</si>
  <si>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</si>
  <si>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</si>
  <si>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</si>
  <si>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</si>
  <si>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</si>
  <si>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</si>
  <si>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</si>
  <si>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</si>
  <si>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</si>
  <si>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</si>
  <si>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</si>
  <si>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</si>
  <si>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</si>
  <si>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</si>
  <si>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</si>
  <si>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</si>
  <si>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</si>
  <si>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</si>
  <si>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</si>
  <si>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</si>
  <si>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</si>
  <si>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</si>
  <si>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</si>
  <si>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</si>
  <si>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</si>
  <si>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</si>
  <si>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</si>
  <si>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</si>
  <si>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</si>
  <si>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</si>
  <si>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</si>
  <si>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</si>
  <si>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</si>
  <si>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</si>
  <si>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</si>
  <si>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</si>
  <si>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</si>
  <si>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</si>
  <si>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</si>
  <si>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</si>
  <si>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</si>
  <si>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</si>
  <si>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</si>
  <si>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</si>
  <si>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</si>
  <si>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</si>
  <si>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</si>
  <si>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</si>
  <si>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</si>
  <si>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</si>
  <si>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</si>
  <si>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</si>
  <si>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</si>
  <si>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</si>
  <si>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</si>
  <si>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</si>
  <si>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</si>
  <si>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</si>
  <si>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</si>
  <si>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</si>
  <si>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</si>
  <si>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</si>
  <si>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</si>
  <si>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</si>
  <si>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</si>
  <si>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</si>
  <si>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</si>
  <si>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</si>
  <si>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</si>
  <si>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</si>
  <si>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</si>
  <si>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</si>
  <si>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</si>
  <si>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</si>
  <si>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</si>
  <si>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</si>
  <si>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</si>
  <si>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</si>
  <si>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</si>
  <si>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</si>
  <si>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</si>
  <si>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</si>
  <si>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</si>
  <si>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</si>
  <si>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</si>
  <si>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</si>
  <si>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</si>
  <si>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</si>
  <si>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</si>
  <si>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</si>
  <si>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</si>
  <si>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</si>
  <si>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</si>
  <si>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</si>
  <si>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</si>
  <si>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</si>
  <si>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</si>
  <si>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</si>
  <si>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</si>
  <si>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</si>
  <si>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</si>
  <si>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</si>
  <si>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</si>
  <si>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</si>
  <si>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</si>
  <si>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</si>
  <si>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</si>
  <si>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</si>
  <si>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</si>
  <si>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</si>
  <si>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</si>
  <si>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</si>
  <si>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</si>
  <si>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</si>
  <si>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</si>
  <si>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</si>
  <si>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</si>
  <si>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</si>
  <si>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</si>
  <si>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</si>
  <si>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</si>
  <si>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</si>
  <si>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</si>
  <si>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</si>
  <si>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</si>
  <si>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</si>
  <si>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</si>
  <si>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</si>
  <si>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</si>
  <si>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</si>
  <si>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</si>
  <si>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</si>
  <si>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</si>
  <si>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</si>
  <si>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</si>
  <si>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</si>
  <si>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</si>
  <si>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</si>
  <si>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</si>
  <si>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</si>
  <si>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</si>
  <si>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</si>
  <si>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</si>
  <si>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</si>
  <si>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</si>
  <si>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</si>
  <si>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</si>
  <si>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</si>
  <si>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</si>
  <si>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</si>
  <si>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</si>
  <si>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</si>
  <si>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</si>
  <si>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</si>
  <si>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</si>
  <si>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</si>
  <si>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</si>
  <si>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</si>
  <si>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</si>
  <si>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</si>
  <si>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</si>
  <si>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</si>
  <si>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</si>
  <si>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</si>
  <si>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</si>
  <si>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</si>
  <si>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</si>
  <si>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</si>
  <si>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</si>
  <si>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</si>
  <si>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</si>
  <si>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</si>
  <si>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</si>
  <si>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</si>
  <si>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</si>
  <si>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</si>
  <si>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</si>
  <si>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</si>
  <si>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</si>
  <si>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</si>
  <si>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</si>
  <si>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</si>
  <si>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</si>
  <si>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</si>
  <si>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</si>
  <si>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</si>
  <si>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</si>
  <si>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</si>
  <si>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</si>
  <si>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</si>
  <si>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</si>
  <si>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</si>
  <si>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</si>
  <si>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</si>
  <si>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</si>
  <si>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</si>
  <si>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</si>
  <si>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</si>
  <si>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</si>
  <si>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</si>
  <si>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</si>
  <si>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</si>
  <si>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</si>
  <si>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</si>
  <si>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</si>
  <si>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</si>
  <si>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</si>
  <si>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</si>
  <si>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</si>
  <si>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</si>
  <si>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</si>
  <si>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</si>
  <si>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</si>
  <si>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</si>
  <si>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</si>
  <si>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</si>
  <si>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</si>
  <si>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</si>
  <si>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</si>
  <si>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</si>
  <si>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</si>
  <si>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</si>
  <si>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</si>
  <si>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</si>
  <si>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</si>
  <si>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</si>
  <si>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</si>
  <si>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</si>
  <si>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</si>
  <si>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</si>
  <si>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</si>
  <si>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</si>
  <si>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</si>
  <si>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</si>
  <si>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</si>
  <si>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</si>
  <si>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</si>
  <si>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</si>
  <si>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</si>
  <si>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</si>
  <si>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</si>
  <si>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</si>
  <si>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</si>
  <si>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</si>
  <si>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</si>
  <si>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</si>
  <si>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</si>
  <si>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</si>
  <si>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</si>
  <si>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</si>
  <si>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</si>
  <si>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</si>
  <si>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</si>
  <si>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</si>
  <si>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</si>
  <si>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</si>
  <si>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</si>
  <si>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</si>
  <si>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</si>
  <si>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</si>
  <si>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</si>
  <si>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</si>
  <si>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</si>
  <si>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</si>
  <si>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</si>
  <si>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</si>
  <si>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</si>
  <si>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</si>
  <si>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</si>
  <si>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</si>
  <si>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</si>
  <si>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</si>
  <si>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</si>
  <si>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</si>
  <si>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</si>
  <si>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</si>
  <si>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</si>
  <si>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</si>
  <si>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</si>
  <si>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</si>
  <si>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</si>
  <si>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</si>
  <si>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</si>
  <si>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</si>
  <si>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</si>
  <si>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</si>
  <si>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</si>
  <si>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</si>
  <si>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</si>
  <si>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</si>
  <si>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</si>
  <si>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</si>
  <si>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</si>
  <si>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</si>
  <si>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</si>
  <si>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</si>
  <si>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</si>
  <si>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</si>
  <si>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</si>
  <si>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</si>
  <si>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</si>
  <si>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</si>
  <si>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</si>
  <si>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</si>
  <si>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</si>
  <si>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</si>
  <si>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</si>
  <si>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</si>
  <si>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</si>
  <si>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</si>
  <si>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</si>
  <si>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</si>
  <si>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</si>
  <si>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</si>
  <si>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</si>
  <si>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</si>
  <si>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</si>
  <si>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</si>
  <si>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</si>
  <si>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</si>
  <si>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</si>
  <si>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</si>
  <si>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</si>
  <si>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</si>
  <si>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</si>
  <si>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</si>
  <si>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</si>
  <si>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</si>
  <si>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</si>
  <si>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</si>
  <si>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</si>
  <si>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</si>
  <si>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</si>
  <si>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</si>
  <si>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</si>
  <si>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</si>
  <si>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</si>
  <si>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</si>
  <si>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</si>
  <si>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</si>
  <si>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</si>
  <si>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</si>
  <si>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</si>
  <si>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</si>
  <si>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</si>
  <si>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</si>
  <si>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</si>
  <si>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</si>
  <si>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</si>
  <si>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</si>
  <si>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</si>
  <si>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</si>
  <si>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</si>
  <si>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</si>
  <si>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</si>
  <si>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</si>
  <si>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</si>
  <si>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</si>
  <si>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</si>
  <si>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</si>
  <si>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</si>
  <si>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</si>
  <si>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</si>
  <si>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</si>
  <si>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</si>
  <si>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</si>
  <si>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</si>
  <si>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</si>
  <si>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</si>
  <si>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</si>
  <si>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</si>
  <si>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</si>
  <si>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</si>
  <si>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</si>
  <si>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</si>
  <si>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</si>
  <si>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</si>
  <si>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</si>
  <si>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</si>
  <si>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</si>
  <si>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</si>
  <si>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</si>
  <si>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</si>
  <si>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</si>
  <si>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</si>
  <si>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</si>
  <si>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</si>
  <si>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</si>
  <si>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</si>
  <si>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</si>
  <si>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</si>
  <si>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</si>
  <si>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</si>
  <si>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</si>
  <si>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</si>
  <si>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</si>
  <si>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</si>
  <si>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</si>
  <si>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</si>
  <si>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</si>
  <si>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</si>
  <si>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</si>
  <si>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</si>
  <si>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</si>
  <si>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</si>
  <si>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</si>
  <si>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</si>
  <si>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</si>
  <si>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</si>
  <si>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</si>
  <si>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</si>
  <si>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</si>
  <si>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</si>
  <si>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</si>
  <si>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</si>
  <si>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</si>
  <si>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</si>
  <si>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</si>
  <si>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</si>
  <si>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</si>
  <si>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</si>
  <si>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</si>
  <si>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</si>
  <si>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</si>
  <si>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</si>
  <si>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</si>
  <si>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</si>
  <si>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</si>
  <si>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</si>
  <si>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</si>
  <si>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</si>
  <si>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</si>
  <si>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</si>
  <si>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</si>
  <si>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</si>
  <si>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</si>
  <si>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</si>
  <si>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</si>
  <si>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</si>
  <si>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</si>
  <si>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</si>
  <si>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</si>
  <si>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</si>
  <si>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</si>
  <si>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</si>
  <si>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</si>
  <si>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</si>
  <si>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</si>
  <si>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</si>
  <si>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</si>
  <si>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</si>
  <si>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</si>
  <si>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</si>
  <si>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</si>
  <si>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</si>
  <si>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</si>
  <si>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</si>
  <si>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</si>
  <si>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</si>
  <si>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</si>
  <si>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</si>
  <si>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</si>
  <si>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</si>
  <si>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</si>
  <si>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</si>
  <si>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</si>
  <si>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</si>
  <si>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</si>
  <si>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</si>
  <si>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</si>
  <si>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</si>
  <si>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</si>
  <si>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</si>
  <si>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</si>
  <si>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</si>
  <si>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</si>
  <si>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</si>
  <si>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</si>
  <si>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</si>
  <si>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</si>
  <si>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</si>
  <si>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</si>
  <si>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</si>
  <si>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</si>
  <si>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</si>
  <si>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</si>
  <si>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</si>
  <si>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</si>
  <si>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</si>
  <si>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</si>
  <si>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</si>
  <si>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</si>
  <si>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</si>
  <si>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</si>
  <si>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</si>
  <si>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</si>
  <si>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</si>
  <si>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</si>
  <si>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</si>
  <si>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</si>
  <si>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</si>
  <si>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</si>
  <si>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</si>
  <si>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</si>
  <si>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</si>
  <si>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</si>
  <si>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</si>
  <si>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</si>
  <si>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</si>
  <si>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</si>
  <si>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</si>
  <si>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</si>
  <si>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</si>
  <si>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</si>
  <si>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</si>
  <si>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</si>
  <si>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</si>
  <si>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</si>
  <si>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</si>
  <si>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</si>
  <si>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</si>
  <si>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</si>
  <si>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</si>
  <si>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</si>
  <si>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</si>
  <si>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</si>
  <si>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</si>
  <si>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</si>
  <si>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</si>
  <si>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</si>
  <si>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</si>
  <si>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</si>
  <si>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</si>
  <si>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</si>
  <si>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</si>
  <si>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</si>
  <si>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</si>
  <si>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</si>
  <si>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</si>
  <si>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</si>
  <si>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</si>
  <si>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</si>
  <si>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</si>
  <si>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</si>
  <si>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</si>
  <si>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</si>
  <si>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</si>
  <si>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</si>
  <si>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</si>
  <si>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</si>
  <si>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</si>
  <si>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</si>
  <si>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</si>
  <si>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</si>
  <si>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</si>
  <si>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</si>
  <si>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</si>
  <si>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</si>
  <si>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</si>
  <si>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</si>
  <si>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</si>
  <si>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</si>
  <si>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</si>
  <si>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</si>
  <si>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</si>
  <si>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</si>
  <si>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</si>
  <si>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</si>
  <si>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</si>
  <si>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</si>
  <si>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</si>
  <si>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</si>
  <si>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</si>
  <si>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</si>
  <si>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</si>
  <si>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</si>
  <si>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</si>
  <si>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</si>
  <si>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</si>
  <si>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</si>
  <si>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</si>
  <si>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</si>
  <si>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</si>
  <si>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</si>
  <si>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</si>
  <si>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</si>
  <si>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</si>
  <si>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</si>
  <si>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</si>
  <si>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</si>
  <si>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</si>
  <si>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</si>
  <si>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</si>
  <si>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</si>
  <si>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</si>
  <si>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</si>
  <si>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</si>
  <si>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</si>
  <si>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</si>
  <si>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</si>
  <si>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</si>
  <si>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</si>
  <si>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</si>
  <si>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</si>
  <si>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</si>
  <si>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</si>
  <si>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</si>
  <si>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</si>
  <si>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</si>
  <si>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</si>
  <si>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</si>
  <si>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</si>
  <si>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</si>
  <si>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</si>
  <si>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</si>
  <si>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</si>
  <si>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</si>
  <si>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</si>
  <si>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</si>
  <si>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</si>
  <si>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</si>
  <si>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</si>
  <si>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</si>
  <si>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</si>
  <si>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</si>
  <si>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</si>
  <si>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</si>
  <si>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</si>
  <si>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</si>
  <si>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</si>
  <si>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</si>
  <si>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</si>
  <si>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</si>
  <si>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</si>
  <si>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</si>
  <si>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</si>
  <si>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</si>
  <si>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</si>
  <si>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</si>
  <si>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</si>
  <si>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</si>
  <si>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</si>
  <si>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</si>
  <si>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</si>
  <si>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</si>
  <si>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</si>
  <si>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</si>
  <si>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</si>
  <si>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</si>
  <si>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</si>
  <si>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</si>
  <si>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</si>
  <si>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</si>
  <si>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</si>
  <si>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</si>
  <si>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</si>
  <si>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</si>
  <si>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</si>
  <si>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</si>
  <si>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</si>
  <si>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</si>
  <si>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</si>
  <si>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</si>
  <si>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</si>
  <si>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</si>
  <si>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</si>
  <si>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</si>
  <si>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</si>
  <si>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</si>
  <si>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</si>
  <si>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</si>
  <si>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</si>
  <si>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</si>
  <si>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</si>
  <si>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</si>
  <si>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</si>
  <si>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</si>
  <si>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</si>
  <si>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</si>
  <si>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</si>
  <si>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</si>
  <si>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</si>
  <si>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</si>
  <si>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</si>
  <si>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</si>
  <si>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</si>
  <si>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</si>
  <si>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</si>
  <si>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</si>
  <si>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</si>
  <si>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</si>
  <si>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</si>
  <si>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</si>
  <si>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</si>
  <si>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</si>
  <si>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</si>
  <si>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</si>
  <si>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</si>
  <si>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</si>
  <si>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</si>
  <si>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</si>
  <si>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</si>
  <si>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</si>
  <si>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</si>
  <si>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</si>
  <si>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</si>
  <si>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</si>
  <si>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</si>
  <si>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</si>
  <si>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</si>
  <si>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</si>
  <si>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</si>
  <si>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</si>
  <si>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</si>
  <si>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</si>
  <si>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</si>
  <si>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</si>
  <si>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</si>
  <si>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</si>
  <si>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</si>
  <si>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</si>
  <si>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</si>
  <si>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</si>
  <si>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</si>
  <si>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</si>
  <si>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</si>
  <si>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</si>
  <si>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</si>
  <si>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</si>
  <si>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</si>
  <si>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</si>
  <si>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</si>
  <si>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</si>
  <si>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</si>
  <si>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</si>
  <si>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</si>
  <si>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</si>
  <si>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</si>
  <si>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</si>
  <si>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</si>
  <si>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</si>
  <si>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</si>
  <si>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</si>
  <si>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</si>
  <si>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</si>
  <si>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</si>
  <si>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</si>
  <si>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</si>
  <si>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</si>
  <si>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</si>
  <si>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</si>
  <si>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</si>
  <si>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</si>
  <si>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</si>
  <si>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</si>
  <si>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</si>
  <si>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</si>
  <si>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</si>
  <si>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</si>
  <si>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</si>
  <si>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</si>
  <si>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</si>
  <si>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</si>
  <si>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</si>
  <si>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</si>
  <si>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</si>
  <si>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</si>
  <si>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</si>
  <si>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</si>
  <si>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</si>
  <si>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</si>
  <si>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</si>
  <si>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</si>
  <si>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</si>
  <si>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</si>
  <si>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</si>
  <si>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</si>
  <si>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</si>
  <si>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</si>
  <si>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</si>
  <si>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</si>
  <si>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</si>
  <si>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</si>
  <si>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</si>
  <si>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</si>
  <si>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</si>
  <si>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</si>
  <si>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</si>
  <si>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</si>
  <si>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</si>
  <si>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</si>
  <si>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</si>
  <si>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</si>
  <si>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</si>
  <si>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</si>
  <si>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</si>
  <si>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</si>
  <si>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</si>
  <si>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</si>
  <si>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</si>
  <si>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</si>
  <si>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</si>
  <si>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</si>
  <si>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</si>
  <si>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</si>
  <si>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</si>
  <si>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</si>
  <si>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</si>
  <si>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</si>
  <si>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</si>
  <si>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</si>
  <si>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</si>
  <si>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</si>
  <si>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</si>
  <si>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</si>
  <si>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</si>
  <si>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</si>
  <si>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</si>
  <si>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</si>
  <si>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</si>
  <si>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</si>
  <si>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</si>
  <si>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</si>
  <si>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</si>
  <si>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</si>
  <si>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</si>
  <si>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</si>
  <si>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</si>
  <si>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</si>
  <si>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</si>
  <si>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</si>
  <si>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</si>
  <si>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</si>
  <si>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</si>
  <si>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</si>
  <si>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</si>
  <si>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</si>
  <si>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</si>
  <si>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</si>
  <si>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</si>
  <si>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</si>
  <si>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</si>
  <si>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</si>
  <si>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</si>
  <si>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</si>
  <si>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</si>
  <si>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</si>
  <si>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</si>
  <si>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</si>
  <si>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</si>
  <si>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</si>
  <si>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</si>
  <si>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</si>
  <si>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</si>
  <si>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</si>
  <si>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</si>
  <si>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</si>
  <si>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</si>
  <si>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</si>
  <si>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</si>
  <si>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</si>
  <si>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</si>
  <si>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</si>
  <si>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</si>
  <si>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</si>
  <si>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</si>
  <si>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</si>
  <si>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</si>
  <si>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</si>
  <si>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</si>
  <si>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</si>
  <si>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</si>
  <si>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</si>
  <si>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</si>
  <si>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</si>
  <si>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</si>
  <si>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</si>
  <si>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</si>
  <si>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</si>
  <si>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</si>
  <si>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</si>
  <si>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</si>
  <si>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</si>
  <si>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</si>
  <si>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</si>
  <si>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</si>
  <si>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</si>
  <si>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</si>
  <si>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</si>
  <si>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</si>
  <si>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</si>
  <si>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</si>
  <si>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</si>
  <si>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</si>
  <si>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</si>
  <si>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</si>
  <si>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</si>
  <si>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</si>
  <si>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</si>
  <si>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</si>
  <si>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</si>
  <si>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</si>
  <si>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</si>
  <si>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</si>
  <si>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</si>
  <si>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</si>
  <si>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</si>
  <si>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</si>
  <si>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</si>
  <si>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</si>
  <si>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</si>
  <si>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</si>
  <si>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</si>
  <si>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</si>
  <si>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</si>
  <si>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</si>
  <si>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</si>
  <si>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</si>
  <si>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</si>
  <si>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</si>
  <si>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</si>
  <si>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</si>
  <si>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</si>
  <si>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</si>
  <si>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</si>
  <si>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</si>
  <si>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</si>
  <si>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</si>
  <si>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</si>
  <si>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</si>
  <si>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</si>
  <si>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</si>
  <si>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</si>
  <si>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</si>
  <si>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</si>
  <si>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</si>
  <si>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</si>
  <si>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</si>
  <si>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</si>
  <si>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</si>
  <si>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</si>
  <si>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</si>
  <si>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</si>
  <si>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</si>
  <si>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</si>
  <si>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</si>
  <si>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</si>
  <si>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</si>
  <si>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</si>
  <si>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</si>
  <si>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</si>
  <si>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</si>
  <si>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</si>
  <si>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</si>
  <si>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</si>
  <si>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</si>
  <si>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</si>
  <si>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</si>
  <si>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</si>
  <si>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</si>
  <si>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</si>
  <si>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</si>
  <si>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</si>
  <si>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</si>
  <si>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</si>
  <si>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</si>
  <si>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</si>
  <si>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</si>
  <si>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</si>
  <si>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</si>
  <si>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</si>
  <si>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</si>
  <si>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</si>
  <si>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</si>
  <si>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</si>
  <si>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</si>
  <si>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</si>
  <si>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</si>
  <si>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</si>
  <si>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</si>
  <si>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</si>
  <si>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</si>
  <si>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</si>
  <si>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</si>
  <si>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</si>
  <si>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</si>
  <si>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</si>
  <si>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</si>
  <si>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</si>
  <si>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</si>
  <si>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</si>
  <si>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</si>
  <si>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</si>
  <si>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</si>
  <si>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</si>
  <si>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</si>
  <si>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</si>
  <si>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</si>
  <si>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</si>
  <si>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</si>
  <si>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</si>
  <si>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</si>
  <si>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</si>
  <si>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</si>
  <si>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</si>
  <si>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</si>
  <si>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</si>
  <si>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</si>
  <si>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</si>
  <si>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</si>
  <si>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</si>
  <si>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</si>
  <si>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</si>
  <si>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</si>
  <si>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</si>
  <si>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</si>
  <si>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</si>
  <si>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</si>
  <si>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</si>
  <si>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</si>
  <si>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</si>
  <si>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</si>
  <si>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</si>
  <si>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</si>
  <si>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</si>
  <si>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</si>
  <si>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</si>
  <si>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</si>
  <si>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</si>
  <si>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</si>
  <si>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</si>
  <si>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</si>
  <si>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</si>
  <si>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</si>
  <si>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</si>
  <si>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</si>
  <si>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</si>
  <si>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</si>
  <si>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</si>
  <si>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</si>
  <si>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</si>
  <si>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</si>
  <si>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</si>
  <si>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</si>
  <si>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</si>
  <si>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</si>
  <si>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</si>
  <si>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</si>
  <si>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</si>
  <si>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</si>
  <si>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</si>
  <si>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</si>
  <si>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</si>
  <si>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</si>
  <si>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</si>
  <si>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</si>
  <si>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</si>
  <si>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</si>
  <si>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</si>
  <si>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</si>
  <si>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</si>
  <si>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</si>
  <si>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</si>
  <si>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</si>
  <si>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</si>
  <si>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</si>
  <si>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</si>
  <si>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</si>
  <si>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</si>
  <si>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</si>
  <si>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</si>
  <si>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</si>
  <si>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</si>
  <si>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</si>
  <si>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</si>
  <si>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</si>
  <si>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</si>
  <si>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</si>
  <si>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</si>
  <si>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</si>
  <si>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</si>
  <si>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</si>
  <si>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</si>
  <si>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</si>
  <si>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</si>
  <si>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</si>
  <si>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</si>
  <si>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</si>
  <si>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</si>
  <si>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</si>
  <si>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</si>
  <si>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</si>
  <si>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</si>
  <si>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</si>
  <si>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</si>
  <si>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</si>
  <si>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</si>
  <si>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</si>
  <si>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</si>
  <si>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</si>
  <si>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</si>
  <si>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</si>
  <si>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</si>
  <si>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</si>
  <si>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</si>
  <si>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</si>
  <si>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</si>
  <si>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</si>
  <si>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</si>
  <si>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</si>
  <si>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</si>
  <si>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</si>
  <si>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</si>
  <si>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</si>
  <si>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</si>
  <si>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</si>
  <si>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</si>
  <si>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</si>
  <si>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</si>
  <si>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</si>
  <si>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</si>
  <si>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</si>
  <si>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</si>
  <si>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</si>
  <si>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</si>
  <si>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</si>
  <si>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</si>
  <si>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</si>
  <si>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</si>
  <si>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</si>
  <si>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</si>
  <si>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</si>
  <si>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</si>
  <si>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</si>
  <si>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</si>
  <si>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</si>
  <si>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</si>
  <si>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</si>
  <si>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</si>
  <si>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</si>
  <si>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</si>
  <si>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</si>
  <si>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</si>
  <si>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</si>
  <si>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</si>
  <si>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</si>
  <si>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</si>
  <si>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</si>
  <si>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</si>
  <si>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</si>
  <si>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</si>
  <si>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</si>
  <si>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</si>
  <si>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</si>
  <si>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</si>
  <si>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</si>
  <si>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</si>
  <si>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</si>
  <si>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</si>
  <si>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</si>
  <si>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</si>
  <si>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</si>
  <si>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</si>
  <si>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</si>
  <si>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</si>
  <si>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</si>
  <si>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</si>
  <si>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</si>
  <si>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</si>
  <si>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</si>
  <si>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</si>
  <si>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</si>
  <si>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</si>
  <si>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</si>
  <si>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</si>
  <si>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</si>
  <si>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</si>
  <si>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</si>
  <si>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</si>
  <si>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</si>
  <si>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</si>
  <si>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</si>
  <si>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</si>
  <si>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</si>
  <si>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</si>
  <si>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</si>
  <si>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</si>
  <si>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</si>
  <si>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</si>
  <si>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</si>
  <si>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</si>
  <si>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</si>
  <si>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</si>
  <si>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</si>
  <si>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</si>
  <si>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</si>
  <si>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</si>
  <si>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</si>
  <si>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</si>
  <si>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</si>
  <si>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</si>
  <si>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</si>
  <si>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</si>
  <si>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</si>
  <si>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</si>
  <si>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</si>
  <si>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</si>
  <si>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</si>
  <si>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</si>
  <si>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</si>
  <si>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</si>
  <si>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</si>
  <si>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</si>
  <si>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</si>
  <si>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</si>
  <si>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</si>
  <si>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</si>
  <si>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</si>
  <si>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</si>
  <si>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</si>
  <si>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</si>
  <si>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</si>
  <si>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</si>
  <si>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</si>
  <si>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</si>
  <si>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</si>
  <si>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</si>
  <si>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</si>
  <si>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</si>
  <si>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</si>
  <si>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</si>
  <si>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</si>
  <si>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</si>
  <si>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</si>
  <si>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</si>
  <si>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</si>
  <si>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</si>
  <si>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</si>
  <si>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</si>
  <si>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</si>
  <si>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</si>
  <si>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</si>
  <si>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</si>
  <si>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</si>
  <si>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</si>
  <si>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</si>
  <si>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</si>
  <si>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</si>
  <si>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</si>
  <si>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</si>
  <si>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</si>
  <si>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</si>
  <si>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</si>
  <si>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</si>
  <si>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</si>
  <si>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</si>
  <si>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</si>
  <si>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</si>
  <si>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</si>
  <si>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</si>
  <si>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</si>
  <si>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</si>
  <si>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</si>
  <si>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</si>
  <si>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</si>
  <si>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</si>
  <si>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</si>
  <si>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</si>
  <si>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</si>
  <si>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</si>
  <si>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</si>
  <si>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</si>
  <si>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</si>
  <si>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</si>
  <si>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</si>
  <si>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</si>
  <si>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</si>
  <si>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</si>
  <si>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</si>
  <si>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</si>
  <si>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</si>
  <si>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</si>
  <si>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</si>
  <si>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</si>
  <si>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</si>
  <si>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</si>
  <si>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</si>
  <si>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</si>
  <si>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</si>
  <si>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</si>
  <si>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</si>
  <si>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</si>
  <si>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</si>
  <si>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</si>
  <si>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</si>
  <si>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</si>
  <si>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</si>
  <si>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</si>
  <si>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</si>
  <si>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</si>
  <si>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</si>
  <si>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</si>
  <si>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</si>
  <si>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</si>
  <si>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</si>
  <si>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</si>
  <si>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</si>
  <si>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</si>
  <si>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</si>
  <si>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</si>
  <si>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</si>
  <si>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</si>
  <si>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</si>
  <si>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</si>
  <si>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</si>
  <si>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</si>
  <si>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</si>
  <si>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</si>
  <si>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</si>
  <si>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</si>
  <si>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</si>
  <si>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</si>
  <si>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</si>
  <si>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</si>
  <si>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</si>
  <si>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</si>
  <si>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</si>
  <si>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</si>
  <si>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</si>
  <si>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</si>
  <si>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</si>
  <si>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</si>
  <si>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</si>
  <si>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</si>
  <si>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</si>
  <si>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</si>
  <si>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</si>
  <si>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</si>
  <si>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</si>
  <si>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</si>
  <si>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</si>
  <si>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</si>
  <si>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</si>
  <si>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</si>
  <si>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</si>
  <si>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</si>
  <si>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</si>
  <si>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</si>
  <si>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</si>
  <si>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</si>
  <si>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</si>
  <si>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</si>
  <si>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</si>
  <si>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</si>
  <si>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</si>
  <si>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</si>
  <si>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</si>
  <si>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</si>
  <si>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</si>
  <si>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</si>
  <si>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</si>
  <si>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</si>
  <si>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</si>
  <si>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</si>
  <si>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</si>
  <si>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</si>
  <si>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</si>
  <si>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</si>
  <si>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</si>
  <si>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</si>
  <si>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</si>
  <si>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</si>
  <si>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</si>
  <si>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</si>
  <si>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</si>
  <si>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</si>
  <si>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</si>
  <si>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</si>
  <si>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</si>
  <si>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</si>
  <si>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</si>
  <si>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</si>
  <si>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</si>
  <si>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</si>
  <si>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</si>
  <si>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</si>
  <si>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</si>
  <si>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</si>
  <si>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</si>
  <si>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</si>
  <si>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</si>
  <si>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</si>
  <si>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</si>
  <si>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</si>
  <si>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</si>
  <si>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</si>
  <si>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</si>
  <si>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</si>
  <si>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</si>
  <si>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</si>
  <si>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</si>
  <si>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</si>
  <si>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</si>
  <si>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</si>
  <si>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</si>
  <si>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</si>
  <si>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</si>
  <si>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</si>
  <si>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</si>
  <si>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</si>
  <si>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</si>
  <si>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</si>
  <si>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</si>
  <si>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</si>
  <si>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</si>
  <si>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</si>
  <si>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</si>
  <si>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</si>
  <si>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</si>
  <si>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</si>
  <si>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</si>
  <si>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</si>
  <si>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</si>
  <si>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</si>
  <si>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</si>
  <si>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</si>
  <si>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</si>
  <si>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</si>
  <si>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</si>
  <si>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</si>
  <si>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</si>
  <si>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</si>
  <si>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</si>
  <si>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</si>
  <si>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</si>
  <si>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</si>
  <si>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</si>
  <si>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</si>
  <si>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</si>
  <si>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</si>
  <si>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</si>
  <si>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</si>
  <si>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</si>
  <si>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</si>
  <si>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</si>
  <si>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</si>
  <si>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</si>
  <si>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</si>
  <si>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</si>
  <si>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</si>
  <si>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</si>
  <si>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</si>
  <si>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</si>
  <si>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</si>
  <si>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</si>
  <si>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</si>
  <si>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</si>
  <si>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</si>
  <si>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</si>
  <si>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</si>
  <si>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</si>
  <si>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</si>
  <si>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</si>
  <si>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</si>
  <si>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</si>
  <si>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</si>
  <si>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</si>
  <si>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</si>
  <si>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</si>
  <si>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</si>
  <si>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</si>
  <si>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</si>
  <si>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</si>
  <si>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</si>
  <si>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</si>
  <si>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</si>
  <si>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</si>
  <si>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</si>
  <si>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</si>
  <si>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</si>
  <si>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</si>
  <si>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</si>
  <si>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</si>
  <si>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</si>
  <si>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</si>
  <si>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</si>
  <si>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</si>
  <si>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</si>
  <si>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</si>
  <si>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</si>
  <si>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</si>
  <si>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</si>
  <si>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</si>
  <si>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</si>
  <si>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</si>
  <si>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</si>
  <si>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</si>
  <si>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</si>
  <si>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</si>
  <si>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</si>
  <si>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</si>
  <si>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</si>
  <si>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</si>
  <si>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</si>
  <si>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</si>
  <si>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</si>
  <si>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</si>
  <si>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</si>
  <si>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</si>
  <si>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</si>
  <si>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</si>
  <si>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</si>
  <si>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</si>
  <si>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</si>
  <si>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</si>
  <si>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</si>
  <si>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</si>
  <si>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</si>
  <si>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</si>
  <si>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</si>
  <si>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</si>
  <si>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</si>
  <si>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</si>
  <si>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</si>
  <si>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</si>
  <si>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</si>
  <si>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</si>
  <si>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</si>
  <si>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</si>
  <si>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</si>
  <si>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</si>
  <si>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</si>
  <si>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</si>
  <si>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</si>
  <si>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</si>
  <si>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</si>
  <si>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</si>
  <si>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</si>
  <si>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</si>
  <si>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</si>
  <si>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</si>
  <si>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</si>
  <si>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</si>
  <si>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</si>
  <si>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</si>
  <si>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</si>
  <si>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</si>
  <si>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</si>
  <si>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</si>
  <si>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</si>
  <si>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</si>
  <si>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</si>
  <si>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</si>
  <si>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</si>
  <si>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</si>
  <si>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</si>
  <si>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</si>
  <si>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</si>
  <si>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</si>
  <si>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</si>
  <si>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</si>
  <si>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</si>
  <si>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</si>
  <si>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</si>
  <si>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</si>
  <si>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</si>
  <si>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</si>
  <si>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</si>
  <si>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</si>
  <si>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</si>
  <si>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</si>
  <si>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</si>
  <si>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</si>
  <si>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</si>
  <si>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</si>
  <si>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</si>
  <si>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</si>
  <si>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</si>
  <si>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</si>
  <si>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</si>
  <si>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</si>
  <si>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</si>
  <si>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</si>
  <si>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</si>
  <si>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</si>
  <si>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</si>
  <si>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</si>
  <si>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</si>
  <si>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</si>
  <si>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</si>
  <si>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</si>
  <si>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</si>
  <si>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</si>
  <si>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</si>
  <si>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</si>
  <si>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</si>
  <si>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</si>
  <si>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</si>
  <si>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</si>
  <si>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</si>
  <si>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</si>
  <si>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</si>
  <si>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</si>
  <si>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</si>
  <si>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</si>
  <si>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</si>
  <si>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</si>
  <si>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</si>
  <si>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</si>
  <si>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</si>
  <si>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</si>
  <si>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</si>
  <si>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</si>
  <si>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</si>
  <si>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</si>
  <si>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</si>
  <si>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</si>
  <si>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</si>
  <si>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</si>
  <si>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</si>
  <si>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</si>
  <si>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</si>
  <si>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</si>
  <si>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</si>
  <si>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</si>
  <si>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</si>
  <si>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</si>
  <si>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</si>
  <si>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</si>
  <si>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</si>
  <si>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</si>
  <si>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</si>
  <si>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</si>
  <si>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</si>
  <si>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</si>
  <si>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</si>
  <si>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</si>
  <si>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</si>
  <si>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</si>
  <si>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</si>
  <si>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</si>
  <si>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</si>
  <si>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</si>
  <si>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</si>
  <si>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</si>
  <si>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</si>
  <si>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</si>
  <si>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</si>
  <si>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</si>
  <si>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</si>
  <si>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</si>
  <si>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</si>
  <si>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</si>
  <si>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</si>
  <si>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</si>
  <si>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</si>
  <si>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</si>
  <si>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</si>
  <si>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</si>
  <si>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</si>
  <si>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</si>
  <si>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</si>
  <si>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</si>
  <si>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</si>
  <si>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</si>
  <si>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</si>
  <si>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</si>
  <si>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</si>
  <si>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</si>
  <si>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</si>
  <si>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</si>
  <si>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</si>
  <si>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</si>
  <si>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</si>
  <si>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</si>
  <si>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</si>
  <si>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</si>
  <si>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</si>
  <si>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</si>
  <si>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</si>
  <si>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</si>
  <si>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</si>
  <si>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</si>
  <si>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</si>
  <si>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</si>
  <si>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</si>
  <si>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</si>
  <si>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</si>
  <si>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</si>
  <si>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</si>
  <si>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</si>
  <si>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</si>
  <si>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</si>
  <si>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</si>
  <si>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</si>
  <si>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</si>
  <si>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</si>
  <si>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</si>
  <si>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</si>
  <si>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</si>
  <si>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</si>
  <si>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</si>
  <si>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</si>
  <si>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</si>
  <si>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</si>
  <si>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</si>
  <si>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</si>
  <si>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</si>
  <si>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</si>
  <si>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</si>
  <si>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</si>
  <si>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</si>
  <si>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</si>
  <si>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</si>
  <si>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</si>
  <si>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</si>
  <si>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</si>
  <si>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</si>
  <si>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</si>
  <si>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</si>
  <si>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</si>
  <si>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</si>
  <si>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</si>
  <si>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</si>
  <si>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</si>
  <si>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</si>
  <si>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</si>
  <si>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</si>
  <si>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</si>
  <si>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</si>
  <si>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</si>
  <si>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</si>
  <si>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</si>
  <si>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</si>
  <si>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</si>
  <si>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</si>
  <si>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</si>
  <si>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</si>
  <si>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</si>
  <si>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</si>
  <si>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</si>
  <si>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</si>
  <si>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</si>
  <si>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</si>
  <si>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</si>
  <si>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</si>
  <si>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</si>
  <si>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</si>
  <si>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</si>
  <si>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</si>
  <si>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</si>
  <si>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</si>
  <si>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</si>
  <si>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</si>
  <si>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</si>
  <si>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</si>
  <si>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</si>
  <si>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</si>
  <si>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</si>
  <si>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</si>
  <si>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</si>
  <si>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</si>
  <si>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</si>
  <si>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</si>
  <si>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</si>
  <si>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</si>
  <si>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</si>
  <si>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</si>
  <si>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</si>
  <si>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</si>
  <si>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</si>
  <si>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</si>
  <si>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</si>
  <si>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</si>
  <si>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</si>
  <si>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</si>
  <si>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</si>
  <si>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</si>
  <si>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</si>
  <si>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</si>
  <si>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</si>
  <si>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</si>
  <si>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</si>
  <si>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</si>
  <si>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</si>
  <si>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</si>
  <si>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</si>
  <si>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</si>
  <si>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</si>
  <si>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</si>
  <si>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</si>
  <si>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</si>
  <si>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</si>
  <si>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</si>
  <si>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</si>
  <si>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</si>
  <si>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</si>
  <si>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</si>
  <si>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</si>
  <si>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</si>
  <si>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</si>
  <si>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</si>
  <si>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</si>
  <si>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</si>
  <si>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</si>
  <si>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</si>
  <si>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</si>
  <si>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</si>
  <si>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</si>
  <si>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</si>
  <si>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</si>
  <si>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</si>
  <si>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</si>
  <si>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</si>
  <si>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</si>
  <si>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</si>
  <si>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</si>
  <si>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</si>
  <si>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</si>
  <si>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</si>
  <si>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</si>
  <si>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</si>
  <si>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</si>
  <si>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</si>
  <si>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</si>
  <si>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</si>
  <si>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</si>
  <si>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</si>
  <si>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</si>
  <si>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</si>
  <si>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</si>
  <si>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</si>
  <si>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</si>
  <si>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</si>
  <si>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</si>
  <si>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</si>
  <si>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</si>
  <si>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</si>
  <si>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</si>
  <si>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</si>
  <si>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</si>
  <si>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</si>
  <si>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</si>
  <si>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</si>
  <si>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</si>
  <si>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</si>
  <si>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</si>
  <si>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</si>
  <si>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</si>
  <si>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</si>
  <si>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</si>
  <si>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</si>
  <si>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</si>
  <si>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</si>
  <si>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</si>
  <si>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</si>
  <si>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</si>
  <si>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</si>
  <si>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</si>
  <si>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</si>
  <si>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</si>
  <si>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</si>
  <si>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</si>
  <si>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</si>
  <si>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</si>
  <si>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</si>
  <si>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</si>
  <si>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</si>
  <si>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</si>
  <si>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</si>
  <si>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</si>
  <si>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</si>
  <si>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</si>
  <si>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</si>
  <si>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</si>
  <si>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</si>
  <si>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</si>
  <si>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</si>
  <si>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</si>
  <si>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</si>
  <si>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</si>
  <si>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</si>
  <si>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</si>
  <si>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</si>
  <si>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</si>
  <si>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</si>
  <si>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</si>
  <si>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</si>
  <si>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</si>
  <si>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</si>
  <si>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</si>
  <si>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</si>
  <si>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</si>
  <si>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</si>
  <si>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</si>
  <si>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</si>
  <si>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</si>
  <si>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</si>
  <si>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</si>
  <si>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</si>
  <si>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</si>
  <si>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</si>
  <si>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</si>
  <si>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</si>
  <si>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</si>
  <si>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</si>
  <si>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</si>
  <si>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</si>
  <si>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</si>
  <si>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</si>
  <si>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</si>
  <si>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</si>
  <si>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</si>
  <si>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</si>
  <si>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</si>
  <si>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</si>
  <si>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</si>
  <si>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</si>
  <si>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</si>
  <si>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</si>
  <si>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</si>
  <si>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</si>
  <si>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</si>
  <si>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</si>
  <si>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</si>
  <si>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</si>
  <si>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</si>
  <si>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</si>
  <si>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</si>
  <si>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</si>
  <si>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</si>
  <si>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</si>
  <si>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</si>
  <si>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</si>
  <si>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</si>
  <si>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</si>
  <si>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</si>
  <si>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</si>
  <si>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</si>
  <si>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</si>
  <si>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</si>
  <si>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</si>
  <si>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</si>
  <si>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</si>
  <si>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</si>
  <si>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</si>
  <si>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</si>
  <si>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</si>
  <si>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</si>
  <si>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</si>
  <si>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</si>
  <si>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</si>
  <si>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</si>
  <si>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</si>
  <si>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</si>
  <si>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</si>
  <si>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</si>
  <si>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</si>
  <si>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</si>
  <si>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</si>
  <si>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</si>
  <si>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</si>
  <si>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</si>
  <si>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</si>
  <si>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</si>
  <si>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</si>
  <si>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</si>
  <si>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</si>
  <si>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</si>
  <si>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</si>
  <si>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</si>
  <si>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</si>
  <si>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</si>
  <si>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</si>
  <si>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</si>
  <si>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</si>
  <si>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</si>
  <si>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</si>
  <si>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</si>
  <si>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</si>
  <si>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</si>
  <si>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</si>
  <si>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</si>
  <si>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</si>
  <si>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</si>
  <si>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</si>
  <si>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</si>
  <si>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</si>
  <si>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</si>
  <si>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</si>
  <si>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</si>
  <si>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</si>
  <si>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</si>
  <si>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</si>
  <si>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</si>
  <si>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</si>
  <si>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</si>
  <si>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</si>
  <si>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</si>
  <si>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</si>
  <si>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</si>
  <si>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</si>
  <si>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</si>
  <si>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</si>
  <si>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</si>
  <si>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</si>
  <si>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</si>
  <si>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</si>
  <si>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</si>
  <si>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</si>
  <si>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</si>
  <si>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</si>
  <si>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</si>
  <si>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</si>
  <si>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</si>
  <si>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</si>
  <si>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</si>
  <si>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</si>
  <si>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</si>
  <si>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</si>
  <si>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</si>
  <si>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</si>
  <si>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</si>
  <si>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</si>
  <si>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</si>
  <si>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</si>
  <si>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</si>
  <si>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</si>
  <si>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</si>
  <si>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</si>
  <si>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</si>
  <si>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</si>
  <si>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</si>
  <si>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</si>
  <si>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</si>
  <si>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</si>
  <si>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</si>
  <si>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</si>
  <si>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</si>
  <si>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</si>
  <si>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</si>
  <si>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</si>
  <si>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</si>
  <si>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</si>
  <si>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</si>
  <si>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</si>
  <si>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</si>
  <si>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</si>
  <si>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</si>
  <si>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</si>
  <si>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</si>
  <si>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</si>
  <si>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</si>
  <si>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</si>
  <si>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</si>
  <si>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</si>
  <si>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</si>
  <si>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</si>
  <si>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</si>
  <si>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</si>
  <si>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</si>
  <si>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</si>
  <si>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</si>
  <si>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</si>
  <si>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</si>
  <si>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</si>
  <si>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</si>
  <si>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</si>
  <si>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</si>
  <si>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</si>
  <si>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</si>
  <si>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</si>
  <si>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</si>
  <si>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</si>
  <si>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</si>
  <si>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</si>
  <si>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</si>
  <si>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</si>
  <si>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</si>
  <si>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</si>
  <si>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</si>
  <si>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</si>
  <si>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</si>
  <si>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</si>
  <si>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</si>
  <si>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</si>
  <si>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</si>
  <si>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</si>
  <si>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</si>
  <si>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</si>
  <si>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</si>
  <si>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</si>
  <si>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</si>
  <si>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</si>
  <si>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</si>
  <si>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</si>
  <si>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</si>
  <si>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</si>
  <si>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</si>
  <si>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</si>
  <si>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</si>
  <si>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</si>
  <si>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</si>
  <si>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</si>
  <si>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</si>
  <si>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</si>
  <si>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</si>
  <si>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</si>
  <si>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</si>
  <si>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</si>
  <si>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</si>
  <si>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</si>
  <si>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</si>
  <si>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</si>
  <si>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</si>
  <si>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</si>
  <si>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</si>
  <si>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</si>
  <si>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</si>
  <si>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</si>
  <si>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</si>
  <si>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</si>
  <si>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</si>
  <si>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</si>
  <si>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</si>
  <si>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</si>
  <si>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</si>
  <si>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</si>
  <si>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</si>
  <si>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</si>
  <si>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</si>
  <si>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</si>
  <si>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</si>
  <si>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</si>
  <si>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</si>
  <si>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</si>
  <si>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</si>
  <si>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</si>
  <si>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</si>
  <si>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</si>
  <si>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</si>
  <si>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</si>
  <si>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</si>
  <si>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</si>
  <si>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</si>
  <si>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</si>
  <si>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</si>
  <si>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</si>
  <si>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</si>
  <si>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</si>
  <si>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</si>
  <si>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</si>
  <si>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</si>
  <si>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</si>
  <si>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</si>
  <si>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</si>
  <si>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</si>
  <si>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</si>
  <si>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</si>
  <si>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</si>
  <si>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</si>
  <si>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</si>
  <si>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</si>
  <si>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</si>
  <si>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</si>
  <si>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</si>
  <si>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</si>
  <si>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</si>
  <si>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</si>
  <si>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</si>
  <si>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</si>
  <si>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</si>
  <si>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</si>
  <si>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</si>
  <si>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</si>
  <si>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</si>
  <si>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</si>
  <si>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</si>
  <si>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</si>
  <si>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</si>
  <si>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</si>
  <si>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</si>
  <si>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</si>
  <si>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</si>
  <si>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</si>
  <si>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</si>
  <si>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</si>
  <si>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</si>
  <si>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</si>
  <si>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</si>
  <si>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</si>
  <si>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</si>
  <si>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</si>
  <si>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</si>
  <si>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</si>
  <si>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</si>
  <si>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</si>
  <si>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</si>
  <si>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</si>
  <si>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</si>
  <si>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</si>
  <si>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</si>
  <si>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</si>
  <si>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</si>
  <si>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</si>
  <si>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</si>
  <si>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</si>
  <si>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</si>
  <si>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</si>
  <si>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</si>
  <si>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</si>
  <si>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</si>
  <si>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</si>
  <si>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</si>
  <si>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</si>
  <si>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</si>
  <si>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</si>
  <si>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</si>
  <si>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</si>
  <si>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</si>
  <si>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</si>
  <si>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</si>
  <si>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</si>
  <si>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</si>
  <si>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</si>
  <si>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</si>
  <si>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</si>
  <si>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</si>
  <si>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</si>
  <si>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</si>
  <si>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</si>
  <si>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</si>
  <si>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</si>
  <si>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</si>
  <si>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</si>
  <si>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</si>
  <si>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</si>
  <si>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</si>
  <si>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</si>
  <si>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</si>
  <si>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</si>
  <si>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</si>
  <si>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</si>
  <si>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</si>
  <si>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</si>
  <si>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</si>
  <si>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</si>
  <si>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</si>
  <si>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</si>
  <si>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</si>
  <si>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</si>
  <si>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</si>
  <si>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</si>
  <si>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</si>
  <si>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</si>
  <si>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</si>
  <si>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</si>
  <si>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</si>
  <si>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</si>
  <si>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</si>
  <si>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</si>
  <si>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</si>
  <si>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</si>
  <si>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</si>
  <si>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</si>
  <si>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</si>
  <si>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</si>
  <si>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</si>
  <si>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</si>
  <si>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</si>
  <si>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</si>
  <si>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</si>
  <si>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</si>
  <si>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</si>
  <si>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</si>
  <si>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</si>
  <si>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</si>
  <si>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</si>
  <si>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</si>
  <si>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</si>
  <si>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</si>
  <si>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</si>
  <si>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</si>
  <si>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</si>
  <si>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</si>
  <si>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</si>
  <si>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</si>
  <si>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</si>
  <si>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</si>
  <si>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</si>
  <si>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</si>
  <si>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</si>
  <si>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</si>
  <si>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</si>
  <si>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</si>
  <si>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</si>
  <si>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</si>
  <si>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</si>
  <si>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</si>
  <si>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</si>
  <si>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</si>
  <si>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</si>
  <si>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</si>
  <si>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</si>
  <si>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</si>
  <si>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</si>
  <si>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</si>
  <si>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</si>
  <si>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</si>
  <si>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</si>
  <si>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</si>
  <si>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</si>
  <si>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</si>
  <si>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</si>
  <si>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</si>
  <si>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</si>
  <si>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</si>
  <si>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</si>
  <si>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</si>
  <si>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</si>
  <si>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</si>
  <si>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</si>
  <si>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</si>
  <si>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</si>
  <si>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</si>
  <si>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</si>
  <si>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</si>
  <si>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</si>
  <si>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</si>
  <si>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</si>
  <si>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</si>
  <si>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</si>
  <si>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</si>
  <si>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</si>
  <si>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</si>
  <si>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</si>
  <si>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</si>
  <si>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</si>
  <si>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</si>
  <si>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</si>
  <si>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</si>
  <si>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</si>
  <si>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</si>
  <si>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</si>
  <si>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</si>
  <si>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</si>
  <si>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</si>
  <si>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</si>
  <si>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</si>
  <si>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</si>
  <si>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</si>
  <si>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</si>
  <si>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</si>
  <si>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</si>
  <si>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</si>
  <si>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</si>
  <si>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</si>
  <si>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</si>
  <si>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</si>
  <si>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</si>
  <si>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</si>
  <si>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</si>
  <si>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</si>
  <si>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</si>
  <si>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</si>
  <si>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</si>
  <si>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</si>
  <si>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</si>
  <si>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</si>
  <si>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</si>
  <si>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</si>
  <si>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</si>
  <si>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</si>
  <si>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</si>
  <si>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</si>
  <si>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</si>
  <si>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</si>
  <si>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</si>
  <si>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</si>
  <si>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</si>
  <si>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</si>
  <si>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</si>
  <si>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</si>
  <si>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</si>
  <si>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</si>
  <si>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</si>
  <si>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</si>
  <si>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</si>
  <si>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</si>
  <si>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</si>
  <si>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</si>
  <si>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</si>
  <si>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</si>
  <si>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</si>
  <si>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</si>
  <si>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</si>
  <si>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</si>
  <si>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</si>
  <si>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</si>
  <si>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</si>
  <si>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</si>
  <si>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</si>
  <si>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</si>
  <si>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</si>
  <si>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</si>
  <si>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</si>
  <si>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</si>
  <si>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</si>
  <si>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</si>
  <si>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</si>
  <si>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</si>
  <si>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</si>
  <si>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</si>
  <si>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</si>
  <si>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</si>
  <si>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</si>
  <si>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</si>
  <si>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</si>
  <si>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</si>
  <si>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</si>
  <si>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</si>
  <si>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</si>
  <si>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</si>
  <si>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</si>
  <si>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</si>
  <si>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</si>
  <si>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</si>
  <si>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</si>
  <si>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</si>
  <si>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</si>
  <si>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</si>
  <si>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</si>
  <si>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</si>
  <si>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</si>
  <si>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</si>
  <si>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</si>
  <si>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</si>
  <si>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</si>
  <si>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</si>
  <si>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</si>
  <si>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</si>
  <si>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</si>
  <si>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</si>
  <si>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</si>
  <si>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</si>
  <si>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</si>
  <si>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</si>
  <si>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</si>
  <si>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</si>
  <si>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</si>
  <si>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</si>
  <si>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</si>
  <si>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</si>
  <si>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</si>
  <si>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</si>
  <si>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</si>
  <si>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</si>
  <si>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</si>
  <si>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</si>
  <si>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</si>
  <si>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</si>
  <si>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</si>
  <si>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</si>
  <si>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</si>
  <si>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</si>
  <si>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</si>
  <si>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</si>
  <si>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</si>
  <si>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</si>
  <si>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</si>
  <si>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</si>
  <si>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</si>
  <si>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</si>
  <si>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</si>
  <si>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</si>
  <si>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</si>
  <si>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</si>
  <si>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</si>
  <si>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</si>
  <si>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</si>
  <si>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</si>
  <si>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</si>
  <si>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</si>
  <si>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</si>
  <si>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</si>
  <si>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</si>
  <si>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</si>
  <si>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</si>
  <si>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</si>
  <si>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</si>
  <si>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</si>
  <si>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</si>
  <si>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</si>
  <si>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</si>
  <si>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</si>
  <si>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</si>
  <si>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</si>
  <si>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</si>
  <si>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</si>
  <si>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</si>
  <si>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</si>
  <si>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</si>
  <si>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</si>
  <si>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</si>
  <si>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</si>
  <si>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</si>
  <si>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</si>
  <si>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</si>
  <si>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</si>
  <si>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</si>
  <si>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</si>
  <si>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</si>
  <si>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</si>
  <si>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</si>
  <si>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</si>
  <si>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</si>
  <si>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</si>
  <si>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</si>
  <si>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</si>
  <si>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</si>
  <si>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</si>
  <si>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</si>
  <si>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</si>
  <si>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</si>
  <si>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</si>
  <si>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</si>
  <si>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</si>
  <si>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</si>
  <si>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</si>
  <si>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</si>
  <si>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</si>
  <si>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</si>
  <si>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</si>
  <si>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</si>
  <si>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</si>
  <si>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</si>
  <si>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</si>
  <si>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</si>
  <si>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</si>
  <si>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</si>
  <si>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</si>
  <si>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</si>
  <si>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</si>
  <si>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</si>
  <si>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</si>
  <si>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</si>
  <si>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</si>
  <si>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</si>
  <si>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</si>
  <si>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</si>
  <si>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</si>
  <si>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</si>
  <si>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</si>
  <si>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</si>
  <si>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</si>
  <si>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</si>
  <si>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</si>
  <si>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</si>
  <si>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</si>
  <si>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</si>
  <si>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</si>
  <si>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</si>
  <si>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</si>
  <si>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</si>
  <si>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</si>
  <si>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</si>
  <si>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</si>
  <si>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</si>
  <si>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</si>
  <si>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</si>
  <si>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</si>
  <si>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</si>
  <si>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</si>
  <si>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</si>
  <si>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</si>
  <si>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</si>
  <si>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</si>
  <si>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</si>
  <si>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</si>
  <si>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</si>
  <si>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</si>
  <si>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</si>
  <si>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</si>
  <si>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</si>
  <si>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</si>
  <si>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</si>
  <si>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</si>
  <si>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</si>
  <si>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</si>
  <si>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</si>
  <si>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</si>
  <si>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</si>
  <si>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</si>
  <si>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</si>
  <si>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</si>
  <si>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</si>
  <si>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</si>
  <si>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</si>
  <si>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</si>
  <si>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</si>
  <si>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</si>
  <si>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</si>
  <si>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</si>
  <si>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</si>
  <si>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</si>
  <si>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</si>
  <si>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</si>
  <si>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</si>
  <si>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</si>
  <si>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</si>
  <si>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</si>
  <si>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</si>
  <si>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</si>
  <si>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</si>
  <si>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</si>
  <si>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</si>
  <si>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</si>
  <si>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</si>
  <si>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</si>
  <si>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</si>
  <si>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</si>
  <si>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</si>
  <si>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</si>
  <si>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</si>
  <si>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</si>
  <si>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</si>
  <si>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</si>
  <si>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</si>
  <si>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</si>
  <si>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</si>
  <si>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</si>
  <si>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</si>
  <si>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</si>
  <si>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</si>
  <si>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</si>
  <si>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</si>
  <si>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</si>
  <si>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</si>
  <si>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</si>
  <si>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</si>
  <si>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</si>
  <si>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</si>
  <si>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</si>
  <si>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</si>
  <si>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</si>
  <si>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</si>
  <si>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</si>
  <si>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</si>
  <si>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</si>
  <si>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</si>
  <si>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</si>
  <si>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</si>
  <si>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</si>
  <si>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</si>
  <si>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</si>
  <si>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</si>
  <si>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</si>
  <si>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</si>
  <si>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</si>
  <si>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</si>
  <si>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</si>
  <si>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</si>
  <si>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</si>
  <si>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</si>
  <si>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</si>
  <si>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</si>
  <si>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</si>
  <si>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</si>
  <si>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</si>
  <si>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</si>
  <si>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</si>
  <si>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</si>
  <si>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</si>
  <si>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</si>
  <si>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</si>
  <si>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</si>
  <si>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</si>
  <si>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</si>
  <si>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</si>
  <si>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</si>
  <si>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</si>
  <si>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</si>
  <si>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</si>
  <si>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</si>
  <si>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</si>
  <si>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</si>
  <si>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</si>
  <si>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</si>
  <si>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</si>
  <si>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</si>
  <si>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</si>
  <si>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</si>
  <si>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</si>
  <si>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</si>
  <si>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</si>
  <si>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</si>
  <si>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</si>
  <si>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</si>
  <si>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</si>
  <si>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</si>
  <si>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</si>
  <si>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</si>
  <si>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</si>
  <si>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</si>
  <si>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</si>
  <si>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</si>
  <si>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</si>
  <si>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</si>
  <si>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</si>
  <si>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</si>
  <si>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</si>
  <si>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</si>
  <si>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</si>
  <si>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</si>
  <si>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</si>
  <si>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</si>
  <si>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</si>
  <si>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</si>
  <si>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</si>
  <si>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</si>
  <si>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</si>
  <si>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</si>
  <si>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</si>
  <si>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</si>
  <si>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</si>
  <si>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</si>
  <si>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</si>
  <si>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</si>
  <si>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</si>
  <si>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</si>
  <si>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</si>
  <si>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</si>
  <si>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</si>
  <si>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</si>
  <si>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</si>
  <si>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</si>
  <si>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</si>
  <si>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</si>
  <si>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</si>
  <si>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</si>
  <si>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</si>
  <si>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</si>
  <si>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</si>
  <si>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</si>
  <si>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</si>
  <si>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</si>
  <si>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</si>
  <si>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</si>
  <si>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</si>
  <si>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</si>
  <si>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</si>
  <si>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</si>
  <si>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</si>
  <si>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</si>
  <si>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</si>
  <si>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</si>
  <si>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</si>
  <si>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</si>
  <si>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</si>
  <si>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</si>
  <si>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</si>
  <si>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</si>
  <si>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</si>
  <si>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</si>
  <si>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</si>
  <si>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</si>
  <si>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</si>
  <si>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</si>
  <si>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</si>
  <si>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</si>
  <si>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</si>
  <si>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</si>
  <si>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</si>
  <si>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</si>
  <si>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</si>
  <si>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</si>
  <si>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</si>
  <si>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</si>
  <si>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</si>
  <si>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</si>
  <si>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</si>
  <si>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</si>
  <si>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</si>
  <si>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</si>
  <si>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</si>
  <si>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</si>
  <si>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</si>
  <si>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</si>
  <si>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</si>
  <si>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</si>
  <si>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</si>
  <si>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</si>
  <si>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</si>
  <si>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</si>
  <si>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</si>
  <si>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</si>
  <si>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</si>
  <si>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</si>
  <si>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</si>
  <si>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</si>
  <si>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</si>
  <si>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</si>
  <si>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</si>
  <si>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</si>
  <si>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</si>
  <si>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</si>
  <si>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</si>
  <si>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</si>
  <si>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</si>
  <si>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</si>
  <si>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</si>
  <si>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</si>
  <si>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</si>
  <si>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</si>
  <si>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</si>
  <si>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</si>
  <si>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</si>
  <si>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</si>
  <si>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</si>
  <si>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</si>
  <si>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</si>
  <si>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</si>
  <si>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</si>
  <si>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</si>
  <si>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</si>
  <si>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</si>
  <si>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</si>
  <si>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</si>
  <si>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</si>
  <si>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</si>
  <si>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</si>
  <si>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</si>
  <si>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</si>
  <si>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</si>
  <si>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</si>
  <si>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</si>
  <si>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</si>
  <si>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</si>
  <si>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</si>
  <si>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</si>
  <si>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</si>
  <si>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</si>
  <si>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</si>
  <si>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</si>
  <si>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</si>
  <si>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</si>
  <si>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</si>
  <si>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</si>
  <si>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</si>
  <si>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</si>
  <si>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</si>
  <si>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</si>
  <si>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</si>
  <si>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</si>
  <si>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</si>
  <si>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</si>
  <si>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</si>
  <si>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</si>
  <si>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</si>
  <si>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</si>
  <si>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</si>
  <si>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</si>
  <si>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</si>
  <si>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</si>
  <si>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</si>
  <si>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</si>
  <si>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</si>
  <si>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</si>
  <si>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</si>
  <si>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</si>
  <si>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</si>
  <si>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</si>
  <si>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</si>
  <si>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</si>
  <si>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</si>
  <si>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</si>
  <si>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</si>
  <si>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</si>
  <si>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</si>
  <si>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</si>
  <si>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</si>
  <si>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</si>
  <si>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</si>
  <si>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</si>
  <si>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</si>
  <si>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</si>
  <si>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</si>
  <si>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</si>
  <si>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</si>
  <si>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</si>
  <si>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</si>
  <si>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</si>
  <si>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</si>
  <si>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</si>
  <si>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</si>
  <si>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</si>
  <si>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</si>
  <si>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</si>
  <si>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</si>
  <si>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</si>
  <si>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</si>
  <si>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</si>
  <si>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</si>
  <si>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</si>
  <si>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</si>
  <si>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</si>
  <si>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</si>
  <si>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</si>
  <si>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</si>
  <si>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</si>
  <si>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</si>
  <si>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</si>
  <si>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</si>
  <si>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</si>
  <si>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</si>
  <si>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</si>
  <si>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</si>
  <si>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</si>
  <si>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</si>
  <si>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</si>
  <si>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</si>
  <si>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</si>
  <si>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</si>
  <si>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</si>
  <si>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</si>
  <si>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</si>
  <si>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</si>
  <si>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</si>
  <si>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</si>
  <si>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</si>
  <si>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</si>
  <si>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</si>
  <si>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</si>
  <si>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</si>
  <si>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</si>
  <si>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</si>
  <si>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</si>
  <si>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</si>
  <si>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</si>
  <si>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</si>
  <si>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</si>
  <si>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</si>
  <si>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</si>
  <si>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</si>
  <si>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</si>
  <si>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</si>
  <si>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</si>
  <si>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</si>
  <si>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</si>
  <si>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</si>
  <si>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</si>
  <si>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</si>
  <si>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</si>
  <si>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</si>
  <si>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</si>
  <si>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</si>
  <si>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</si>
  <si>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</si>
  <si>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</si>
  <si>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</si>
  <si>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</si>
  <si>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</si>
  <si>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</si>
  <si>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</si>
  <si>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</si>
  <si>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</si>
  <si>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</si>
  <si>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</si>
  <si>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</si>
  <si>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</si>
  <si>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</si>
  <si>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</si>
  <si>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</si>
  <si>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</si>
  <si>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</si>
  <si>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</si>
  <si>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</si>
  <si>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</si>
  <si>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</si>
  <si>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</si>
  <si>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</si>
  <si>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</si>
  <si>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</si>
  <si>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</si>
  <si>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</si>
  <si>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</si>
  <si>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</si>
  <si>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</si>
  <si>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</si>
  <si>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</si>
  <si>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</si>
  <si>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</si>
  <si>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</si>
  <si>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</si>
  <si>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</si>
  <si>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</si>
  <si>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</si>
  <si>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</si>
  <si>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</si>
  <si>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</si>
  <si>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</si>
  <si>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</si>
  <si>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</si>
  <si>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</si>
  <si>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</si>
  <si>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</si>
  <si>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</si>
  <si>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</si>
  <si>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</si>
  <si>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</si>
  <si>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</si>
  <si>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</si>
  <si>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</si>
  <si>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</si>
  <si>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</si>
  <si>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</si>
  <si>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</si>
  <si>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</si>
  <si>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</si>
  <si>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</si>
  <si>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</si>
  <si>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</si>
  <si>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</si>
  <si>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</si>
  <si>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</si>
  <si>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</si>
  <si>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</si>
  <si>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</si>
  <si>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</si>
  <si>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</si>
  <si>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</si>
  <si>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</si>
  <si>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</si>
  <si>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</si>
  <si>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</si>
  <si>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</si>
  <si>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</si>
  <si>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</si>
  <si>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</si>
  <si>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</si>
  <si>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</si>
  <si>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</si>
  <si>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</si>
  <si>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</si>
  <si>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</si>
  <si>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</si>
  <si>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</si>
  <si>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</si>
  <si>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</si>
  <si>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</si>
  <si>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</si>
  <si>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</si>
  <si>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</si>
  <si>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</si>
  <si>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</si>
  <si>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</si>
  <si>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</si>
  <si>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</si>
  <si>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</si>
  <si>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</si>
  <si>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</si>
  <si>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</si>
  <si>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</si>
  <si>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</si>
  <si>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</si>
  <si>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</si>
  <si>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</si>
  <si>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</si>
  <si>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</si>
  <si>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</si>
  <si>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</si>
  <si>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</si>
  <si>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</si>
  <si>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</si>
  <si>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</si>
  <si>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</si>
  <si>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</si>
  <si>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</si>
  <si>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</si>
  <si>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</si>
  <si>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</si>
  <si>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</si>
  <si>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</si>
  <si>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</si>
  <si>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</si>
  <si>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</si>
  <si>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</si>
  <si>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</si>
  <si>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</si>
  <si>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</si>
  <si>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</si>
  <si>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</si>
  <si>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</si>
  <si>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</si>
  <si>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</si>
  <si>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</si>
  <si>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</si>
  <si>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</si>
  <si>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</si>
  <si>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</si>
  <si>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</si>
  <si>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</si>
  <si>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</si>
  <si>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</si>
  <si>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</si>
  <si>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</si>
  <si>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</si>
  <si>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</si>
  <si>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</si>
  <si>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</si>
  <si>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</si>
  <si>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</si>
  <si>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</si>
  <si>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</si>
  <si>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</si>
  <si>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</si>
  <si>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</si>
  <si>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</si>
  <si>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</si>
  <si>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</si>
  <si>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</si>
  <si>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</si>
  <si>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</si>
  <si>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</si>
  <si>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</si>
  <si>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</si>
  <si>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</si>
  <si>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</si>
  <si>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</si>
  <si>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</si>
  <si>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</si>
  <si>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</si>
  <si>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</si>
  <si>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</si>
  <si>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</si>
  <si>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</si>
  <si>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</si>
  <si>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</si>
  <si>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</si>
  <si>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</si>
  <si>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</si>
  <si>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</si>
  <si>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</si>
  <si>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</si>
  <si>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</si>
  <si>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</si>
  <si>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</si>
  <si>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</si>
  <si>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</si>
  <si>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</si>
  <si>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</si>
  <si>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</si>
  <si>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</si>
  <si>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</si>
  <si>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</si>
  <si>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</si>
  <si>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</si>
  <si>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</si>
  <si>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</si>
  <si>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</si>
  <si>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</si>
  <si>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</si>
  <si>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</si>
  <si>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</si>
  <si>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</si>
  <si>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</si>
  <si>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</si>
  <si>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</si>
  <si>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</si>
  <si>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</si>
  <si>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</si>
  <si>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</si>
  <si>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</si>
  <si>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</si>
  <si>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</si>
  <si>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</si>
  <si>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</si>
  <si>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</si>
  <si>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</si>
  <si>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</si>
  <si>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</si>
  <si>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</si>
  <si>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</si>
  <si>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</si>
  <si>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</si>
  <si>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</si>
  <si>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</si>
  <si>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</si>
  <si>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</si>
  <si>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</si>
  <si>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</si>
  <si>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</si>
  <si>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</si>
  <si>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</si>
  <si>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</si>
  <si>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</si>
  <si>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</si>
  <si>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</si>
  <si>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</si>
  <si>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</si>
  <si>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</si>
  <si>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</si>
  <si>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</si>
  <si>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</si>
  <si>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</si>
  <si>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</si>
  <si>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</si>
  <si>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</si>
  <si>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</si>
  <si>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</si>
  <si>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</si>
  <si>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</si>
  <si>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</si>
  <si>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</si>
  <si>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</si>
  <si>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</si>
  <si>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</si>
  <si>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</si>
  <si>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</si>
  <si>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</si>
  <si>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</si>
  <si>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</si>
  <si>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</si>
  <si>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</si>
  <si>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</si>
  <si>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</si>
  <si>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</si>
  <si>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</si>
  <si>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</si>
  <si>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</si>
  <si>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</si>
  <si>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</si>
  <si>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</si>
  <si>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</si>
  <si>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</si>
  <si>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</si>
  <si>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</si>
  <si>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</si>
  <si>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</si>
  <si>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</si>
  <si>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</si>
  <si>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</si>
  <si>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</si>
  <si>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</si>
  <si>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</si>
  <si>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</si>
  <si>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</si>
  <si>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</si>
  <si>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</si>
  <si>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</si>
  <si>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</si>
  <si>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</si>
  <si>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</si>
  <si>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</si>
  <si>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</si>
  <si>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</si>
  <si>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</si>
  <si>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</si>
  <si>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</si>
  <si>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</si>
  <si>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</si>
  <si>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</si>
  <si>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</si>
  <si>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</si>
  <si>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</si>
  <si>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</si>
  <si>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</si>
  <si>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</si>
  <si>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</si>
  <si>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</si>
  <si>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</si>
  <si>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</si>
  <si>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</si>
  <si>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</si>
  <si>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</si>
  <si>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</si>
  <si>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</si>
  <si>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</si>
  <si>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</si>
  <si>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</si>
  <si>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</si>
  <si>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</si>
  <si>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</si>
  <si>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</si>
  <si>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</si>
  <si>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</si>
  <si>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</si>
  <si>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</si>
  <si>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</si>
  <si>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</si>
  <si>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</si>
  <si>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</si>
  <si>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</si>
  <si>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</si>
  <si>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</si>
  <si>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</si>
  <si>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</si>
  <si>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</si>
  <si>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</si>
  <si>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</si>
  <si>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</si>
  <si>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</si>
  <si>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</si>
  <si>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</si>
  <si>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</si>
  <si>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</si>
  <si>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</si>
  <si>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</si>
  <si>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</si>
  <si>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</si>
  <si>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</si>
  <si>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</si>
  <si>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</si>
  <si>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</si>
  <si>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</si>
  <si>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</si>
  <si>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</si>
  <si>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</si>
  <si>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</si>
  <si>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</si>
  <si>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</si>
  <si>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</si>
  <si>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</si>
  <si>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</si>
  <si>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</si>
  <si>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</si>
  <si>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</si>
  <si>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</si>
  <si>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</si>
  <si>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</si>
  <si>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</si>
  <si>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</si>
  <si>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</si>
  <si>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</si>
  <si>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</si>
  <si>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</si>
  <si>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</si>
  <si>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</si>
  <si>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</si>
  <si>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</si>
  <si>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</si>
  <si>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</si>
  <si>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</si>
  <si>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</si>
  <si>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</si>
  <si>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</si>
  <si>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</si>
  <si>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</si>
  <si>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</si>
  <si>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</si>
  <si>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</si>
  <si>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</si>
  <si>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</si>
  <si>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</si>
  <si>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</si>
  <si>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</si>
  <si>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</si>
  <si>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</si>
  <si>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</si>
  <si>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</si>
  <si>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</si>
  <si>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</si>
  <si>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</si>
  <si>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</si>
  <si>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</si>
  <si>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</si>
  <si>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</si>
  <si>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</si>
  <si>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</si>
  <si>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</si>
  <si>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</si>
  <si>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</si>
  <si>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</si>
  <si>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</si>
  <si>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</si>
  <si>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</si>
  <si>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</si>
  <si>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</si>
  <si>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</si>
  <si>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</si>
  <si>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</si>
  <si>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</si>
  <si>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</si>
  <si>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</si>
  <si>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</si>
  <si>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</si>
  <si>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</si>
  <si>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</si>
  <si>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</si>
  <si>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</si>
  <si>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</si>
  <si>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</si>
  <si>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</si>
  <si>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</si>
  <si>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</si>
  <si>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</si>
  <si>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</si>
  <si>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</si>
  <si>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</si>
  <si>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</si>
  <si>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</si>
  <si>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</si>
  <si>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</si>
  <si>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</si>
  <si>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</si>
  <si>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</si>
  <si>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</si>
  <si>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</si>
  <si>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</si>
  <si>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</si>
  <si>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</si>
  <si>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</si>
  <si>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</si>
  <si>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</si>
  <si>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</si>
  <si>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</si>
  <si>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</si>
  <si>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</si>
  <si>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</si>
  <si>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</si>
  <si>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</si>
  <si>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</si>
  <si>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</si>
  <si>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</si>
  <si>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</si>
  <si>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</si>
  <si>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</si>
  <si>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</si>
  <si>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</si>
  <si>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</si>
  <si>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</si>
  <si>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</si>
  <si>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</si>
  <si>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</si>
  <si>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</si>
  <si>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</si>
  <si>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</si>
  <si>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</si>
  <si>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</si>
  <si>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</si>
  <si>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</si>
  <si>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</si>
  <si>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</si>
  <si>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</si>
  <si>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</si>
  <si>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</si>
  <si>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</si>
  <si>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</si>
  <si>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</si>
  <si>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</si>
  <si>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</si>
  <si>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</si>
  <si>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</si>
  <si>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</si>
  <si>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</si>
  <si>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</si>
  <si>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</si>
  <si>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</si>
  <si>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</si>
  <si>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</si>
  <si>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</si>
  <si>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</si>
  <si>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</si>
  <si>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</si>
  <si>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</si>
  <si>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</si>
  <si>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</si>
  <si>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</si>
  <si>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</si>
  <si>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</si>
  <si>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</si>
  <si>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</si>
  <si>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</si>
  <si>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</si>
  <si>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</si>
  <si>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</si>
  <si>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</si>
  <si>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</si>
  <si>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</si>
  <si>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</si>
  <si>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</si>
  <si>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</si>
  <si>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</si>
  <si>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</si>
  <si>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</si>
  <si>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</si>
  <si>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</si>
  <si>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</si>
  <si>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</si>
  <si>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</si>
  <si>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</si>
  <si>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</si>
  <si>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</si>
  <si>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</si>
  <si>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</si>
  <si>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</si>
  <si>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</si>
  <si>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</si>
  <si>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</si>
  <si>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</si>
  <si>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</si>
  <si>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</si>
  <si>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</si>
  <si>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</si>
  <si>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</si>
  <si>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</si>
  <si>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</si>
  <si>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</si>
  <si>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</si>
  <si>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</si>
  <si>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</si>
  <si>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</si>
  <si>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</si>
  <si>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</si>
  <si>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</si>
  <si>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</si>
  <si>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Hong Kong X'Tals Limited</t>
    <phoneticPr fontId="4" type="noConversion"/>
  </si>
  <si>
    <t>Ronald Chan</t>
    <phoneticPr fontId="4" type="noConversion"/>
  </si>
  <si>
    <t>Ronald.Chan@hongkongcrystal.com</t>
    <phoneticPr fontId="4" type="noConversion"/>
  </si>
  <si>
    <t>852-35112388</t>
    <phoneticPr fontId="4" type="noConversion"/>
  </si>
  <si>
    <t>Kevin Chu</t>
    <phoneticPr fontId="4" type="noConversion"/>
  </si>
  <si>
    <t>Kevin.Chu@hongkongcrystal.com</t>
    <phoneticPr fontId="4" type="noConversion"/>
  </si>
  <si>
    <t>Our products do not have tantalum</t>
    <phoneticPr fontId="4" type="noConversion"/>
  </si>
  <si>
    <t>Not all but greater than 90%</t>
    <phoneticPr fontId="4" type="noConversion"/>
  </si>
  <si>
    <t>BOLIVIA</t>
  </si>
  <si>
    <t>CFSI</t>
  </si>
  <si>
    <t>Cercado</t>
  </si>
  <si>
    <t>Bangka</t>
  </si>
  <si>
    <t>Fujian</t>
  </si>
  <si>
    <t>Jiangxi</t>
  </si>
  <si>
    <t>https://www.hongkongcrystal.com/environmental/</t>
    <phoneticPr fontId="4" type="noConversion"/>
  </si>
  <si>
    <t>NO</t>
    <phoneticPr fontId="28"/>
  </si>
  <si>
    <t>NO</t>
    <phoneticPr fontId="28"/>
  </si>
  <si>
    <t>Not received all the semlter information from supplier yet, but the smelter information received do not include the covered countries</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</si>
</sst>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2"/>
      <charset val="128"/>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4"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42" xfId="0" applyBorder="1" applyAlignment="1" applyProtection="1">
      <alignment horizontal="left" vertical="center"/>
      <protection locked="0" hidden="1"/>
    </xf>
    <xf numFmtId="0" fontId="0" fillId="0" borderId="42" xfId="0" applyBorder="1" applyAlignment="1" applyProtection="1">
      <alignment horizontal="left" vertical="center"/>
      <protection locked="0"/>
    </xf>
    <xf numFmtId="0" fontId="0" fillId="0" borderId="65" xfId="0" applyFont="1" applyBorder="1" applyAlignment="1" applyProtection="1">
      <alignment vertical="center"/>
      <protection locked="0"/>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hidden="1"/>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protection locked="0"/>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nald.Chan@hongkongcryst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ongkongcrystal.com/environmental/" TargetMode="External"/><Relationship Id="rId4" Type="http://schemas.openxmlformats.org/officeDocument/2006/relationships/hyperlink" Target="mailto:Kevin.Chu@hongkongcryst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7"/>
      <c r="B2" s="38" t="s">
        <v>963</v>
      </c>
      <c r="C2" s="36"/>
      <c r="D2" s="207"/>
      <c r="E2" s="3"/>
      <c r="F2" s="36"/>
      <c r="G2" s="34"/>
    </row>
    <row r="3" spans="1:7">
      <c r="A3" s="367"/>
      <c r="B3" s="5" t="s">
        <v>952</v>
      </c>
      <c r="C3" s="6"/>
      <c r="D3" s="208"/>
      <c r="E3" s="3"/>
      <c r="F3" s="6"/>
      <c r="G3" s="34"/>
    </row>
    <row r="4" spans="1:7" ht="15.75">
      <c r="A4" s="367"/>
      <c r="B4" s="41" t="s">
        <v>965</v>
      </c>
      <c r="C4" s="7"/>
      <c r="D4" s="209"/>
      <c r="E4" s="3"/>
      <c r="F4" s="7"/>
      <c r="G4" s="34"/>
    </row>
    <row r="5" spans="1:7">
      <c r="A5" s="367"/>
      <c r="B5" s="40" t="s">
        <v>1157</v>
      </c>
      <c r="C5" s="4"/>
      <c r="D5" s="210"/>
      <c r="E5" s="3"/>
      <c r="F5" s="4"/>
      <c r="G5" s="34"/>
    </row>
    <row r="6" spans="1:7">
      <c r="A6" s="367"/>
      <c r="B6" s="8"/>
      <c r="C6" s="8"/>
      <c r="D6" s="211"/>
      <c r="E6" s="8"/>
      <c r="F6" s="8"/>
      <c r="G6" s="34"/>
    </row>
    <row r="7" spans="1:7">
      <c r="A7" s="367"/>
      <c r="B7" s="8"/>
      <c r="C7" s="8"/>
      <c r="D7" s="211"/>
      <c r="E7" s="8"/>
      <c r="F7" s="8"/>
      <c r="G7" s="34"/>
    </row>
    <row r="8" spans="1:7">
      <c r="A8" s="367"/>
      <c r="B8" s="8"/>
      <c r="C8" s="8"/>
      <c r="D8" s="211"/>
      <c r="E8" s="8"/>
      <c r="F8" s="8"/>
      <c r="G8" s="34"/>
    </row>
    <row r="9" spans="1:7">
      <c r="A9" s="367"/>
      <c r="B9" s="370" t="s">
        <v>966</v>
      </c>
      <c r="C9" s="370"/>
      <c r="D9" s="370"/>
      <c r="E9" s="370"/>
      <c r="F9" s="370"/>
      <c r="G9" s="34"/>
    </row>
    <row r="10" spans="1:7" ht="27" customHeight="1">
      <c r="A10" s="367"/>
      <c r="B10" s="371" t="s">
        <v>506</v>
      </c>
      <c r="C10" s="371"/>
      <c r="D10" s="371"/>
      <c r="E10" s="371"/>
      <c r="F10" s="371"/>
      <c r="G10" s="34"/>
    </row>
    <row r="11" spans="1:7" ht="27" customHeight="1">
      <c r="A11" s="367"/>
      <c r="B11" s="372"/>
      <c r="C11" s="372"/>
      <c r="D11" s="372"/>
      <c r="E11" s="372"/>
      <c r="F11" s="372"/>
      <c r="G11" s="34"/>
    </row>
    <row r="12" spans="1:7" ht="16.5">
      <c r="A12" s="367"/>
      <c r="B12" s="42" t="s">
        <v>964</v>
      </c>
      <c r="C12" s="43" t="s">
        <v>967</v>
      </c>
      <c r="D12" s="212" t="s">
        <v>968</v>
      </c>
      <c r="E12" s="43" t="s">
        <v>701</v>
      </c>
      <c r="F12" s="43" t="s">
        <v>702</v>
      </c>
      <c r="G12" s="34"/>
    </row>
    <row r="13" spans="1:7" ht="33.75">
      <c r="A13" s="367"/>
      <c r="B13" s="2">
        <v>1</v>
      </c>
      <c r="C13" s="37" t="s">
        <v>1208</v>
      </c>
      <c r="D13" s="39" t="s">
        <v>992</v>
      </c>
      <c r="E13" s="196" t="s">
        <v>969</v>
      </c>
      <c r="F13" s="196"/>
      <c r="G13" s="34"/>
    </row>
    <row r="14" spans="1:7" ht="33.75">
      <c r="A14" s="367"/>
      <c r="B14" s="2">
        <v>2</v>
      </c>
      <c r="C14" s="37" t="s">
        <v>1208</v>
      </c>
      <c r="D14" s="39" t="s">
        <v>1142</v>
      </c>
      <c r="E14" s="196" t="s">
        <v>602</v>
      </c>
      <c r="F14" s="196" t="s">
        <v>603</v>
      </c>
      <c r="G14" s="34"/>
    </row>
    <row r="15" spans="1:7" ht="89.1" customHeight="1">
      <c r="A15" s="367"/>
      <c r="B15" s="373">
        <v>2.0099999999999998</v>
      </c>
      <c r="C15" s="364" t="s">
        <v>1208</v>
      </c>
      <c r="D15" s="376" t="s">
        <v>2686</v>
      </c>
      <c r="E15" s="197" t="s">
        <v>703</v>
      </c>
      <c r="F15" s="197" t="s">
        <v>706</v>
      </c>
      <c r="G15" s="34"/>
    </row>
    <row r="16" spans="1:7" ht="99" customHeight="1">
      <c r="A16" s="367"/>
      <c r="B16" s="374"/>
      <c r="C16" s="365"/>
      <c r="D16" s="377"/>
      <c r="E16" s="198"/>
      <c r="F16" s="198" t="s">
        <v>704</v>
      </c>
      <c r="G16" s="34"/>
    </row>
    <row r="17" spans="1:7" ht="63" customHeight="1">
      <c r="A17" s="367"/>
      <c r="B17" s="375"/>
      <c r="C17" s="366"/>
      <c r="D17" s="378"/>
      <c r="E17" s="37"/>
      <c r="F17" s="37" t="s">
        <v>705</v>
      </c>
      <c r="G17" s="34"/>
    </row>
    <row r="18" spans="1:7" ht="117" customHeight="1">
      <c r="A18" s="367"/>
      <c r="B18" s="373">
        <v>2.02</v>
      </c>
      <c r="C18" s="364" t="s">
        <v>1208</v>
      </c>
      <c r="D18" s="376" t="s">
        <v>2687</v>
      </c>
      <c r="E18" s="197" t="s">
        <v>507</v>
      </c>
      <c r="F18" s="197" t="s">
        <v>596</v>
      </c>
      <c r="G18" s="34"/>
    </row>
    <row r="19" spans="1:7" ht="71.099999999999994" customHeight="1">
      <c r="A19" s="367"/>
      <c r="B19" s="374"/>
      <c r="C19" s="365"/>
      <c r="D19" s="377"/>
      <c r="E19" s="198" t="s">
        <v>601</v>
      </c>
      <c r="F19" s="198" t="s">
        <v>508</v>
      </c>
      <c r="G19" s="34"/>
    </row>
    <row r="20" spans="1:7" ht="90.75" customHeight="1">
      <c r="A20" s="367"/>
      <c r="B20" s="374"/>
      <c r="C20" s="365"/>
      <c r="D20" s="377"/>
      <c r="E20" s="198"/>
      <c r="F20" s="198" t="s">
        <v>708</v>
      </c>
      <c r="G20" s="34"/>
    </row>
    <row r="21" spans="1:7" ht="74.25" customHeight="1">
      <c r="A21" s="367"/>
      <c r="B21" s="375"/>
      <c r="C21" s="366"/>
      <c r="D21" s="378"/>
      <c r="E21" s="37"/>
      <c r="F21" s="37" t="s">
        <v>707</v>
      </c>
      <c r="G21" s="34"/>
    </row>
    <row r="22" spans="1:7" ht="90" customHeight="1">
      <c r="A22" s="367"/>
      <c r="B22" s="358">
        <v>2.0299999999999998</v>
      </c>
      <c r="C22" s="358" t="s">
        <v>935</v>
      </c>
      <c r="D22" s="361" t="s">
        <v>2688</v>
      </c>
      <c r="E22" s="364" t="s">
        <v>505</v>
      </c>
      <c r="F22" s="197" t="s">
        <v>529</v>
      </c>
      <c r="G22" s="34"/>
    </row>
    <row r="23" spans="1:7" ht="109.5" customHeight="1">
      <c r="A23" s="367"/>
      <c r="B23" s="359"/>
      <c r="C23" s="359"/>
      <c r="D23" s="362"/>
      <c r="E23" s="365"/>
      <c r="F23" s="198" t="s">
        <v>936</v>
      </c>
      <c r="G23" s="34"/>
    </row>
    <row r="24" spans="1:7" ht="74.25" customHeight="1">
      <c r="A24" s="367"/>
      <c r="B24" s="360"/>
      <c r="C24" s="360"/>
      <c r="D24" s="363"/>
      <c r="E24" s="366"/>
      <c r="F24" s="37" t="s">
        <v>504</v>
      </c>
      <c r="G24" s="34"/>
    </row>
    <row r="25" spans="1:7" ht="72" customHeight="1">
      <c r="A25" s="367"/>
      <c r="B25" s="2" t="s">
        <v>527</v>
      </c>
      <c r="C25" s="37" t="s">
        <v>528</v>
      </c>
      <c r="D25" s="39" t="s">
        <v>2689</v>
      </c>
      <c r="E25" s="37" t="s">
        <v>2682</v>
      </c>
      <c r="F25" s="37" t="s">
        <v>530</v>
      </c>
      <c r="G25" s="34"/>
    </row>
    <row r="26" spans="1:7" ht="98.1" customHeight="1">
      <c r="A26" s="367"/>
      <c r="B26" s="355">
        <v>3</v>
      </c>
      <c r="C26" s="373" t="s">
        <v>74</v>
      </c>
      <c r="D26" s="376" t="s">
        <v>2690</v>
      </c>
      <c r="E26" s="364" t="s">
        <v>0</v>
      </c>
      <c r="F26" s="197" t="s">
        <v>68</v>
      </c>
      <c r="G26" s="34"/>
    </row>
    <row r="27" spans="1:7" ht="90" customHeight="1">
      <c r="A27" s="367"/>
      <c r="B27" s="356"/>
      <c r="C27" s="374"/>
      <c r="D27" s="377"/>
      <c r="E27" s="365"/>
      <c r="F27" s="198" t="s">
        <v>63</v>
      </c>
      <c r="G27" s="34"/>
    </row>
    <row r="28" spans="1:7" ht="19.350000000000001" customHeight="1">
      <c r="A28" s="367"/>
      <c r="B28" s="356"/>
      <c r="C28" s="374"/>
      <c r="D28" s="377"/>
      <c r="E28" s="365"/>
      <c r="F28" s="198" t="s">
        <v>64</v>
      </c>
      <c r="G28" s="34"/>
    </row>
    <row r="29" spans="1:7" ht="74.45" customHeight="1">
      <c r="A29" s="367"/>
      <c r="B29" s="356"/>
      <c r="C29" s="374"/>
      <c r="D29" s="377"/>
      <c r="E29" s="365"/>
      <c r="F29" s="198" t="s">
        <v>65</v>
      </c>
      <c r="G29" s="34"/>
    </row>
    <row r="30" spans="1:7" ht="62.45" customHeight="1">
      <c r="A30" s="367"/>
      <c r="B30" s="356"/>
      <c r="C30" s="374"/>
      <c r="D30" s="377"/>
      <c r="E30" s="365"/>
      <c r="F30" s="198" t="s">
        <v>66</v>
      </c>
      <c r="G30" s="34"/>
    </row>
    <row r="31" spans="1:7" ht="81" customHeight="1">
      <c r="A31" s="367"/>
      <c r="B31" s="356"/>
      <c r="C31" s="374"/>
      <c r="D31" s="377"/>
      <c r="E31" s="365"/>
      <c r="F31" s="198" t="s">
        <v>67</v>
      </c>
      <c r="G31" s="34"/>
    </row>
    <row r="32" spans="1:7" ht="48.75" customHeight="1">
      <c r="A32" s="367"/>
      <c r="B32" s="356"/>
      <c r="C32" s="374"/>
      <c r="D32" s="377"/>
      <c r="E32" s="365"/>
      <c r="F32" s="198" t="s">
        <v>70</v>
      </c>
      <c r="G32" s="34"/>
    </row>
    <row r="33" spans="1:7" ht="98.45" customHeight="1">
      <c r="A33" s="367"/>
      <c r="B33" s="356"/>
      <c r="C33" s="374"/>
      <c r="D33" s="377"/>
      <c r="E33" s="365"/>
      <c r="F33" s="198" t="s">
        <v>69</v>
      </c>
      <c r="G33" s="34"/>
    </row>
    <row r="34" spans="1:7" ht="89.1" customHeight="1">
      <c r="A34" s="367"/>
      <c r="B34" s="356"/>
      <c r="C34" s="374"/>
      <c r="D34" s="377"/>
      <c r="E34" s="365"/>
      <c r="F34" s="198" t="s">
        <v>71</v>
      </c>
      <c r="G34" s="34"/>
    </row>
    <row r="35" spans="1:7" ht="29.1" customHeight="1">
      <c r="A35" s="367"/>
      <c r="B35" s="356"/>
      <c r="C35" s="374"/>
      <c r="D35" s="377"/>
      <c r="E35" s="365"/>
      <c r="F35" s="198" t="s">
        <v>72</v>
      </c>
      <c r="G35" s="34"/>
    </row>
    <row r="36" spans="1:7" ht="126.75">
      <c r="A36" s="367"/>
      <c r="B36" s="357"/>
      <c r="C36" s="375"/>
      <c r="D36" s="378"/>
      <c r="E36" s="366"/>
      <c r="F36" s="199" t="s">
        <v>73</v>
      </c>
      <c r="G36" s="34"/>
    </row>
    <row r="37" spans="1:7" ht="123.75">
      <c r="A37" s="367"/>
      <c r="B37" s="175">
        <v>3.01</v>
      </c>
      <c r="C37" s="176" t="s">
        <v>74</v>
      </c>
      <c r="D37" s="39" t="s">
        <v>2691</v>
      </c>
      <c r="E37" s="200" t="s">
        <v>1458</v>
      </c>
      <c r="F37" s="201" t="s">
        <v>1577</v>
      </c>
      <c r="G37" s="34"/>
    </row>
    <row r="38" spans="1:7" ht="112.5">
      <c r="A38" s="367"/>
      <c r="B38" s="175">
        <v>3.02</v>
      </c>
      <c r="C38" s="176" t="s">
        <v>1492</v>
      </c>
      <c r="D38" s="39" t="s">
        <v>2692</v>
      </c>
      <c r="E38" s="200" t="s">
        <v>1507</v>
      </c>
      <c r="F38" s="201" t="s">
        <v>1578</v>
      </c>
      <c r="G38" s="34"/>
    </row>
    <row r="39" spans="1:7" ht="101.25">
      <c r="A39" s="367"/>
      <c r="B39" s="184">
        <v>4</v>
      </c>
      <c r="C39" s="183" t="s">
        <v>1757</v>
      </c>
      <c r="D39" s="39" t="s">
        <v>2693</v>
      </c>
      <c r="E39" s="37" t="s">
        <v>2625</v>
      </c>
      <c r="F39" s="37" t="s">
        <v>1758</v>
      </c>
      <c r="G39" s="34"/>
    </row>
    <row r="40" spans="1:7" ht="56.25">
      <c r="A40" s="367"/>
      <c r="B40" s="175">
        <v>4.01</v>
      </c>
      <c r="C40" s="183" t="s">
        <v>1757</v>
      </c>
      <c r="D40" s="39" t="s">
        <v>2695</v>
      </c>
      <c r="E40" s="37" t="s">
        <v>2644</v>
      </c>
      <c r="F40" s="37" t="s">
        <v>2649</v>
      </c>
      <c r="G40" s="34"/>
    </row>
    <row r="41" spans="1:7" ht="56.25">
      <c r="A41" s="367"/>
      <c r="B41" s="175" t="s">
        <v>2680</v>
      </c>
      <c r="C41" s="183" t="s">
        <v>1757</v>
      </c>
      <c r="D41" s="39" t="s">
        <v>2694</v>
      </c>
      <c r="E41" s="37" t="s">
        <v>2683</v>
      </c>
      <c r="F41" s="37" t="s">
        <v>2681</v>
      </c>
      <c r="G41" s="34"/>
    </row>
    <row r="42" spans="1:7" ht="56.25">
      <c r="A42" s="367"/>
      <c r="B42" s="175" t="s">
        <v>2732</v>
      </c>
      <c r="C42" s="183" t="s">
        <v>1757</v>
      </c>
      <c r="D42" s="39" t="s">
        <v>2903</v>
      </c>
      <c r="E42" s="37" t="s">
        <v>2682</v>
      </c>
      <c r="F42" s="37" t="s">
        <v>2733</v>
      </c>
      <c r="G42" s="34"/>
    </row>
    <row r="43" spans="1:7" ht="123.75">
      <c r="A43" s="367"/>
      <c r="B43" s="193">
        <v>4.0999999999999996</v>
      </c>
      <c r="C43" s="183" t="s">
        <v>2902</v>
      </c>
      <c r="D43" s="194">
        <v>42867</v>
      </c>
      <c r="E43" s="202" t="s">
        <v>2905</v>
      </c>
      <c r="F43" s="37" t="s">
        <v>2904</v>
      </c>
      <c r="G43" s="34"/>
    </row>
    <row r="44" spans="1:7" ht="78.75">
      <c r="A44" s="367"/>
      <c r="B44" s="193">
        <v>4.2</v>
      </c>
      <c r="C44" s="183" t="s">
        <v>2902</v>
      </c>
      <c r="D44" s="194">
        <v>42704</v>
      </c>
      <c r="E44" s="202" t="s">
        <v>3155</v>
      </c>
      <c r="F44" s="37" t="s">
        <v>3120</v>
      </c>
      <c r="G44" s="34"/>
    </row>
    <row r="45" spans="1:7" ht="157.5">
      <c r="A45" s="367"/>
      <c r="B45" s="241">
        <v>5</v>
      </c>
      <c r="C45" s="183" t="s">
        <v>2902</v>
      </c>
      <c r="D45" s="194">
        <v>42867</v>
      </c>
      <c r="E45" s="202" t="s">
        <v>13730</v>
      </c>
      <c r="F45" s="37" t="s">
        <v>13315</v>
      </c>
      <c r="G45" s="34"/>
    </row>
    <row r="46" spans="1:7" ht="45">
      <c r="A46" s="367"/>
      <c r="B46" s="193">
        <v>5.01</v>
      </c>
      <c r="C46" s="183" t="s">
        <v>2902</v>
      </c>
      <c r="D46" s="194">
        <v>42907</v>
      </c>
      <c r="E46" s="202" t="s">
        <v>13786</v>
      </c>
      <c r="F46" s="37" t="s">
        <v>13315</v>
      </c>
      <c r="G46" s="34"/>
    </row>
    <row r="47" spans="1:7" ht="67.5">
      <c r="A47" s="367"/>
      <c r="B47" s="193">
        <v>5.0999999999999996</v>
      </c>
      <c r="C47" s="183" t="s">
        <v>2902</v>
      </c>
      <c r="D47" s="194">
        <v>43070</v>
      </c>
      <c r="E47" s="202" t="s">
        <v>13985</v>
      </c>
      <c r="F47" s="37" t="s">
        <v>13986</v>
      </c>
      <c r="G47" s="34"/>
    </row>
    <row r="48" spans="1:7" ht="56.25">
      <c r="A48" s="367"/>
      <c r="B48" s="193">
        <v>5.1100000000000003</v>
      </c>
      <c r="C48" s="183" t="s">
        <v>14260</v>
      </c>
      <c r="D48" s="194">
        <v>43217</v>
      </c>
      <c r="E48" s="202" t="s">
        <v>14404</v>
      </c>
      <c r="F48" s="37" t="s">
        <v>14299</v>
      </c>
      <c r="G48" s="34"/>
    </row>
    <row r="49" spans="1:7" ht="56.25">
      <c r="A49" s="367"/>
      <c r="B49" s="193">
        <v>5.12</v>
      </c>
      <c r="C49" s="183" t="s">
        <v>14260</v>
      </c>
      <c r="D49" s="194">
        <v>43581</v>
      </c>
      <c r="E49" s="202" t="s">
        <v>14404</v>
      </c>
      <c r="F49" s="37" t="s">
        <v>15467</v>
      </c>
      <c r="G49" s="34"/>
    </row>
    <row r="50" spans="1:7" ht="13.5" thickBot="1">
      <c r="A50" s="368"/>
      <c r="B50" s="369" t="str">
        <f ca="1">OFFSET(L!$C$1,MATCH("General"&amp;"Cpy",L!$A:$A,0)-1,SL,,)</f>
        <v>© 2019 Responsible Minerals Initiative. All rights reserved.</v>
      </c>
      <c r="C50" s="369"/>
      <c r="D50" s="369"/>
      <c r="E50" s="369"/>
      <c r="F50" s="369"/>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9"/>
      <c r="B1" s="380"/>
      <c r="C1" s="380"/>
      <c r="D1" s="381"/>
    </row>
    <row r="2" spans="1:5" ht="71.25" customHeight="1">
      <c r="A2" s="90"/>
      <c r="B2" s="171" t="str">
        <f ca="1">OFFSET(L!$C$1,MATCH("Definitions"&amp;ADDRESS(ROW(),COLUMN(),4),L!$A:$A,0)-1,SL,,)</f>
        <v>ITEM</v>
      </c>
      <c r="C2" s="171" t="str">
        <f ca="1">OFFSET(L!$C$1,MATCH("Definitions"&amp;ADDRESS(ROW(),COLUMN(),4),L!$A:$A,0)-1,SL,,)</f>
        <v>DEFINITION</v>
      </c>
      <c r="D2" s="383"/>
      <c r="E2" s="131"/>
    </row>
    <row r="3" spans="1:5" ht="63.95" customHeight="1">
      <c r="A3" s="90"/>
      <c r="B3" s="77" t="str">
        <f ca="1">OFFSET(L!$C$1,MATCH("Definitions"&amp;ADDRESS(ROW(),COLUMN(),4),L!$A:$A,0)-1,SL,,)</f>
        <v>3TG</v>
      </c>
      <c r="C3" s="77" t="str">
        <f ca="1">OFFSET(L!$C$1,MATCH("Definitions"&amp;ADDRESS(ROW(),COLUMN(),4),L!$A:$A,0)-1,SL,,)</f>
        <v>Tantalum, tin, tungsten, gold</v>
      </c>
      <c r="D3" s="383"/>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3"/>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3"/>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3"/>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3"/>
      <c r="E8" s="132" t="s">
        <v>1443</v>
      </c>
    </row>
    <row r="9" spans="1:5" ht="45">
      <c r="A9" s="90"/>
      <c r="B9" s="77" t="str">
        <f ca="1">OFFSET(L!$C$1,MATCH("Definitions"&amp;ADDRESS(ROW(),COLUMN(),4),L!$A:$A,0)-1,SL,,)</f>
        <v>DRC</v>
      </c>
      <c r="C9" s="77" t="str">
        <f ca="1">OFFSET(L!$C$1,MATCH("Definitions"&amp;ADDRESS(ROW(),COLUMN(),4),L!$A:$A,0)-1,SL,,)</f>
        <v>Democratic Republic of Congo</v>
      </c>
      <c r="D9" s="383"/>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3"/>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3"/>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3"/>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3"/>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3"/>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3"/>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3"/>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3"/>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3"/>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3"/>
      <c r="E19" s="132"/>
    </row>
    <row r="20" spans="1:5" ht="15">
      <c r="A20" s="90"/>
      <c r="B20" s="77" t="str">
        <f ca="1">OFFSET(L!$C$1,MATCH("Definitions"&amp;ADDRESS(ROW(),COLUMN(),4),L!$A:$A,0)-1,SL,,)</f>
        <v>RBA</v>
      </c>
      <c r="C20" s="77" t="str">
        <f ca="1">OFFSET(L!$C$1,MATCH("Definitions"&amp;ADDRESS(ROW(),COLUMN(),4),L!$A:$A,0)-1,SL,,)</f>
        <v>Responsible Business Alliance (www.responsiblebusiness.org)</v>
      </c>
      <c r="D20" s="383"/>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3"/>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3"/>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3"/>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3"/>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3"/>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3"/>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3"/>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3"/>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3"/>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3"/>
      <c r="E30" s="132"/>
    </row>
    <row r="31" spans="1:5" ht="15">
      <c r="A31" s="90"/>
      <c r="B31" s="382" t="str">
        <f ca="1">OFFSET(L!$C$1,MATCH("General"&amp;"Cpy",L!$A:$A,0)-1,SL,,)</f>
        <v>© 2019 Responsible Minerals Initiative. All rights reserved.</v>
      </c>
      <c r="C31" s="382"/>
      <c r="D31" s="383"/>
      <c r="E31" s="132"/>
    </row>
    <row r="32" spans="1:5" ht="13.5" thickBot="1">
      <c r="A32" s="91"/>
      <c r="B32" s="187"/>
      <c r="C32" s="187"/>
      <c r="D32" s="384"/>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40" zoomScaleNormal="100" zoomScalePageLayoutView="70" workbookViewId="0">
      <selection activeCell="Y50" sqref="Y5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6"/>
      <c r="B1" s="417"/>
      <c r="C1" s="417"/>
      <c r="D1" s="417"/>
      <c r="E1" s="417"/>
      <c r="F1" s="417"/>
      <c r="G1" s="417"/>
      <c r="H1" s="417"/>
      <c r="I1" s="417"/>
      <c r="J1" s="417"/>
      <c r="K1" s="41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9" t="str">
        <f ca="1">OFFSET(L!$C$1,MATCH("Declaration"&amp;ADDRESS(ROW(),COLUMN(),4),L!$A:$A,0)-1,SL,,)</f>
        <v>Conflict Minerals Reporting Template (CMRT)</v>
      </c>
      <c r="E2" s="420"/>
      <c r="F2" s="420"/>
      <c r="G2" s="420"/>
      <c r="H2" s="420"/>
      <c r="I2" s="420"/>
      <c r="J2" s="42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9"/>
      <c r="G3" s="429"/>
      <c r="H3" s="429"/>
      <c r="I3" s="186"/>
      <c r="J3" s="172" t="s">
        <v>15472</v>
      </c>
      <c r="K3" s="47"/>
      <c r="L3" s="143"/>
      <c r="M3" s="134"/>
      <c r="N3" s="134"/>
      <c r="O3" s="135"/>
      <c r="P3" s="148">
        <f>MATCH($D$3,LN,0)</f>
        <v>1</v>
      </c>
    </row>
    <row r="4" spans="1:34" ht="15.75">
      <c r="A4" s="45"/>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4" t="str">
        <f ca="1">OFFSET(L!$C$1,MATCH("Declaration"&amp;ADDRESS(ROW(),COLUMN(),4),L!$A:$A,0)-1,SL,,)</f>
        <v>Company Information</v>
      </c>
      <c r="C7" s="434"/>
      <c r="D7" s="434"/>
      <c r="E7" s="434"/>
      <c r="F7" s="434"/>
      <c r="G7" s="434"/>
      <c r="H7" s="434"/>
      <c r="I7" s="434"/>
      <c r="J7" s="43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22" t="s">
        <v>15494</v>
      </c>
      <c r="E8" s="423"/>
      <c r="F8" s="423"/>
      <c r="G8" s="423"/>
      <c r="H8" s="423"/>
      <c r="I8" s="423"/>
      <c r="J8" s="42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31" t="s">
        <v>564</v>
      </c>
      <c r="E9" s="432"/>
      <c r="F9" s="432"/>
      <c r="G9" s="43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5" t="str">
        <f ca="1">OFFSET(L!$C$1,MATCH("Declaration"&amp;ADDRESS(ROW(),COLUMN(),4)&amp;LEFT($D$9,1),L!$A:$A,0)-1,SL,,)</f>
        <v>Description of Scope:</v>
      </c>
      <c r="C10" s="155"/>
      <c r="D10" s="426"/>
      <c r="E10" s="427"/>
      <c r="F10" s="427"/>
      <c r="G10" s="427"/>
      <c r="H10" s="427"/>
      <c r="I10" s="427"/>
      <c r="J10" s="42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6"/>
      <c r="C11" s="155"/>
      <c r="D11" s="400" t="str">
        <f ca="1">IF(D9=Q9,OFFSET(L!$C$1,MATCH("Declaration"&amp;ADDRESS(ROW(),COLUMN(),4),L!$A:$A,0)-1,SL,,),"")</f>
        <v/>
      </c>
      <c r="E11" s="401"/>
      <c r="F11" s="401"/>
      <c r="G11" s="401"/>
      <c r="H11" s="401"/>
      <c r="I11" s="401"/>
      <c r="J11" s="402"/>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9"/>
      <c r="E12" s="410"/>
      <c r="F12" s="410"/>
      <c r="G12" s="410"/>
      <c r="H12" s="410"/>
      <c r="I12" s="410"/>
      <c r="J12" s="411"/>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9"/>
      <c r="E13" s="410"/>
      <c r="F13" s="410"/>
      <c r="G13" s="410"/>
      <c r="H13" s="410"/>
      <c r="I13" s="410"/>
      <c r="J13" s="411"/>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9"/>
      <c r="E14" s="410"/>
      <c r="F14" s="410"/>
      <c r="G14" s="410"/>
      <c r="H14" s="410"/>
      <c r="I14" s="410"/>
      <c r="J14" s="41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9" t="s">
        <v>15495</v>
      </c>
      <c r="E15" s="410"/>
      <c r="F15" s="410"/>
      <c r="G15" s="410"/>
      <c r="H15" s="410"/>
      <c r="I15" s="410"/>
      <c r="J15" s="411"/>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7" t="s">
        <v>15496</v>
      </c>
      <c r="E16" s="438"/>
      <c r="F16" s="438"/>
      <c r="G16" s="438"/>
      <c r="H16" s="438"/>
      <c r="I16" s="438"/>
      <c r="J16" s="43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9" t="s">
        <v>15497</v>
      </c>
      <c r="E17" s="410"/>
      <c r="F17" s="410"/>
      <c r="G17" s="410"/>
      <c r="H17" s="410"/>
      <c r="I17" s="410"/>
      <c r="J17" s="411"/>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9" t="s">
        <v>15498</v>
      </c>
      <c r="E18" s="410"/>
      <c r="F18" s="410"/>
      <c r="G18" s="410"/>
      <c r="H18" s="410"/>
      <c r="I18" s="410"/>
      <c r="J18" s="411"/>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9"/>
      <c r="E19" s="410"/>
      <c r="F19" s="410"/>
      <c r="G19" s="410"/>
      <c r="H19" s="410"/>
      <c r="I19" s="410"/>
      <c r="J19" s="411"/>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7" t="s">
        <v>15499</v>
      </c>
      <c r="E20" s="438"/>
      <c r="F20" s="438"/>
      <c r="G20" s="438"/>
      <c r="H20" s="438"/>
      <c r="I20" s="438"/>
      <c r="J20" s="43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9" t="s">
        <v>15497</v>
      </c>
      <c r="E21" s="410"/>
      <c r="F21" s="410"/>
      <c r="G21" s="410"/>
      <c r="H21" s="410"/>
      <c r="I21" s="410"/>
      <c r="J21" s="411"/>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40">
        <v>43585</v>
      </c>
      <c r="E22" s="44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12"/>
      <c r="E23" s="41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42" t="str">
        <f ca="1">OFFSET(L!$C$1,MATCH("Declaration"&amp;ADDRESS(ROW(),COLUMN(),4),L!$A:$A,0)-1,SL,,)</f>
        <v>Answer the following questions 1 - 7 based on the declaration scope indicated above</v>
      </c>
      <c r="C24" s="442"/>
      <c r="D24" s="442"/>
      <c r="E24" s="442"/>
      <c r="F24" s="442"/>
      <c r="G24" s="442"/>
      <c r="H24" s="442"/>
      <c r="I24" s="442"/>
      <c r="J24" s="44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5" t="s">
        <v>559</v>
      </c>
      <c r="E26" s="386"/>
      <c r="F26" s="15"/>
      <c r="G26" s="387" t="s">
        <v>15500</v>
      </c>
      <c r="H26" s="388"/>
      <c r="I26" s="388"/>
      <c r="J26" s="389"/>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5" t="s">
        <v>558</v>
      </c>
      <c r="E27" s="386"/>
      <c r="F27" s="15"/>
      <c r="G27" s="387"/>
      <c r="H27" s="388"/>
      <c r="I27" s="388"/>
      <c r="J27" s="389"/>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5" t="s">
        <v>558</v>
      </c>
      <c r="E28" s="386"/>
      <c r="F28" s="15"/>
      <c r="G28" s="387"/>
      <c r="H28" s="388"/>
      <c r="I28" s="388"/>
      <c r="J28" s="389"/>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5" t="s">
        <v>558</v>
      </c>
      <c r="E29" s="386"/>
      <c r="F29" s="15"/>
      <c r="G29" s="387"/>
      <c r="H29" s="388"/>
      <c r="I29" s="388"/>
      <c r="J29" s="389"/>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5" t="str">
        <f ca="1">D25</f>
        <v>Answer</v>
      </c>
      <c r="E31" s="405"/>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3"/>
      <c r="E32" s="404"/>
      <c r="F32" s="58"/>
      <c r="G32" s="387"/>
      <c r="H32" s="388"/>
      <c r="I32" s="388"/>
      <c r="J32" s="389"/>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5" t="s">
        <v>558</v>
      </c>
      <c r="E33" s="386"/>
      <c r="F33" s="58"/>
      <c r="G33" s="387"/>
      <c r="H33" s="388"/>
      <c r="I33" s="388"/>
      <c r="J33" s="389"/>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5" t="s">
        <v>558</v>
      </c>
      <c r="E34" s="386"/>
      <c r="F34" s="58"/>
      <c r="G34" s="387"/>
      <c r="H34" s="388"/>
      <c r="I34" s="388"/>
      <c r="J34" s="389"/>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5" t="s">
        <v>558</v>
      </c>
      <c r="E35" s="386"/>
      <c r="F35" s="58"/>
      <c r="G35" s="387"/>
      <c r="H35" s="388"/>
      <c r="I35" s="388"/>
      <c r="J35" s="389"/>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5" t="str">
        <f ca="1">D25</f>
        <v>Answer</v>
      </c>
      <c r="E37" s="405"/>
      <c r="F37" s="21"/>
      <c r="G37" s="55" t="str">
        <f ca="1">G25</f>
        <v>Comments</v>
      </c>
      <c r="H37" s="408"/>
      <c r="I37" s="408"/>
      <c r="J37" s="408"/>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5"/>
      <c r="E38" s="386"/>
      <c r="F38" s="58"/>
      <c r="G38" s="387"/>
      <c r="H38" s="388"/>
      <c r="I38" s="388"/>
      <c r="J38" s="389"/>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5" t="s">
        <v>559</v>
      </c>
      <c r="E39" s="386"/>
      <c r="F39" s="58"/>
      <c r="G39" s="387" t="s">
        <v>15511</v>
      </c>
      <c r="H39" s="388"/>
      <c r="I39" s="388"/>
      <c r="J39" s="389"/>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ustomHeight="1">
      <c r="A40" s="52"/>
      <c r="B40" s="51" t="str">
        <f ca="1">OFFSET(L!$C$1,MATCH("Declaration"&amp;ADDRESS(ROW(),COLUMN(),4),L!$A:$A,0)-1,SL,,)&amp;P40</f>
        <v>Gold  (*)</v>
      </c>
      <c r="C40" s="13"/>
      <c r="D40" s="385" t="s">
        <v>559</v>
      </c>
      <c r="E40" s="386"/>
      <c r="F40" s="58"/>
      <c r="G40" s="387" t="s">
        <v>15511</v>
      </c>
      <c r="H40" s="388"/>
      <c r="I40" s="388"/>
      <c r="J40" s="389"/>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ustomHeight="1">
      <c r="A41" s="52"/>
      <c r="B41" s="51" t="str">
        <f ca="1">OFFSET(L!$C$1,MATCH("Declaration"&amp;ADDRESS(ROW(),COLUMN(),4),L!$A:$A,0)-1,SL,,)&amp;P41</f>
        <v>Tungsten  (*)</v>
      </c>
      <c r="C41" s="13"/>
      <c r="D41" s="385" t="s">
        <v>559</v>
      </c>
      <c r="E41" s="386"/>
      <c r="F41" s="58"/>
      <c r="G41" s="387" t="s">
        <v>15511</v>
      </c>
      <c r="H41" s="388"/>
      <c r="I41" s="388"/>
      <c r="J41" s="389"/>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5" t="str">
        <f ca="1">D25</f>
        <v>Answer</v>
      </c>
      <c r="E43" s="405"/>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5"/>
      <c r="E44" s="386"/>
      <c r="F44" s="58"/>
      <c r="G44" s="387"/>
      <c r="H44" s="388"/>
      <c r="I44" s="388"/>
      <c r="J44" s="389"/>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5" t="s">
        <v>559</v>
      </c>
      <c r="E45" s="386"/>
      <c r="F45" s="58"/>
      <c r="G45" s="387"/>
      <c r="H45" s="388"/>
      <c r="I45" s="388"/>
      <c r="J45" s="389"/>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5" t="s">
        <v>559</v>
      </c>
      <c r="E46" s="386"/>
      <c r="F46" s="58"/>
      <c r="G46" s="387"/>
      <c r="H46" s="388"/>
      <c r="I46" s="388"/>
      <c r="J46" s="389"/>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5" t="s">
        <v>559</v>
      </c>
      <c r="E47" s="386"/>
      <c r="F47" s="58"/>
      <c r="G47" s="387"/>
      <c r="H47" s="388"/>
      <c r="I47" s="388"/>
      <c r="J47" s="389"/>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5" t="str">
        <f ca="1">D25</f>
        <v>Answer</v>
      </c>
      <c r="E49" s="405"/>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406"/>
      <c r="E50" s="407"/>
      <c r="F50" s="58"/>
      <c r="G50" s="387"/>
      <c r="H50" s="388"/>
      <c r="I50" s="388"/>
      <c r="J50" s="389"/>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6" t="s">
        <v>3156</v>
      </c>
      <c r="E51" s="407"/>
      <c r="F51" s="58"/>
      <c r="G51" s="387"/>
      <c r="H51" s="388"/>
      <c r="I51" s="388"/>
      <c r="J51" s="389"/>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6" t="s">
        <v>3156</v>
      </c>
      <c r="E52" s="407"/>
      <c r="F52" s="58"/>
      <c r="G52" s="387"/>
      <c r="H52" s="388"/>
      <c r="I52" s="388"/>
      <c r="J52" s="389"/>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06" t="s">
        <v>3156</v>
      </c>
      <c r="E53" s="407"/>
      <c r="F53" s="58"/>
      <c r="G53" s="387"/>
      <c r="H53" s="388"/>
      <c r="I53" s="388"/>
      <c r="J53" s="389"/>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5" t="str">
        <f ca="1">D25</f>
        <v>Answer</v>
      </c>
      <c r="E55" s="405"/>
      <c r="F55" s="21"/>
      <c r="G55" s="55" t="str">
        <f ca="1">G25</f>
        <v>Comments</v>
      </c>
      <c r="H55" s="398"/>
      <c r="I55" s="398"/>
      <c r="J55" s="398"/>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403"/>
      <c r="E56" s="404"/>
      <c r="F56" s="58"/>
      <c r="G56" s="387"/>
      <c r="H56" s="388"/>
      <c r="I56" s="388"/>
      <c r="J56" s="389"/>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5" t="s">
        <v>559</v>
      </c>
      <c r="E57" s="386"/>
      <c r="F57" s="58"/>
      <c r="G57" s="387" t="s">
        <v>15501</v>
      </c>
      <c r="H57" s="388"/>
      <c r="I57" s="388"/>
      <c r="J57" s="389"/>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5" t="s">
        <v>559</v>
      </c>
      <c r="E58" s="386"/>
      <c r="F58" s="58"/>
      <c r="G58" s="387" t="s">
        <v>15501</v>
      </c>
      <c r="H58" s="388"/>
      <c r="I58" s="388"/>
      <c r="J58" s="389"/>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5" t="s">
        <v>559</v>
      </c>
      <c r="E59" s="386"/>
      <c r="F59" s="58"/>
      <c r="G59" s="387" t="s">
        <v>15501</v>
      </c>
      <c r="H59" s="388"/>
      <c r="I59" s="388"/>
      <c r="J59" s="389"/>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5" t="str">
        <f ca="1">D25</f>
        <v>Answer</v>
      </c>
      <c r="E61" s="405"/>
      <c r="F61" s="21"/>
      <c r="G61" s="55" t="str">
        <f ca="1">G25</f>
        <v>Comments</v>
      </c>
      <c r="H61" s="398" t="str">
        <f>IF(Q69="(*)","Click here to enter smelter names","")</f>
        <v/>
      </c>
      <c r="I61" s="398"/>
      <c r="J61" s="398"/>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5"/>
      <c r="E62" s="386"/>
      <c r="F62" s="59"/>
      <c r="G62" s="387"/>
      <c r="H62" s="388"/>
      <c r="I62" s="388"/>
      <c r="J62" s="389"/>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5" t="s">
        <v>558</v>
      </c>
      <c r="E63" s="386"/>
      <c r="F63" s="59"/>
      <c r="G63" s="387"/>
      <c r="H63" s="388"/>
      <c r="I63" s="388"/>
      <c r="J63" s="389"/>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5" t="s">
        <v>558</v>
      </c>
      <c r="E64" s="386"/>
      <c r="F64" s="59"/>
      <c r="G64" s="387"/>
      <c r="H64" s="388"/>
      <c r="I64" s="388"/>
      <c r="J64" s="389"/>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5" t="s">
        <v>558</v>
      </c>
      <c r="E65" s="386"/>
      <c r="F65" s="61"/>
      <c r="G65" s="387"/>
      <c r="H65" s="388"/>
      <c r="I65" s="388"/>
      <c r="J65" s="389"/>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90" t="str">
        <f ca="1">OFFSET(L!$C$1,MATCH("Declaration"&amp;ADDRESS(ROW(),COLUMN(),4),L!$A:$A,0)-1,SL,,)</f>
        <v>Answer the Following Questions at a Company Level</v>
      </c>
      <c r="C67" s="390"/>
      <c r="D67" s="390"/>
      <c r="E67" s="390"/>
      <c r="F67" s="390"/>
      <c r="G67" s="390"/>
      <c r="H67" s="390"/>
      <c r="I67" s="390"/>
      <c r="J67" s="390"/>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9" t="str">
        <f ca="1">D25</f>
        <v>Answer</v>
      </c>
      <c r="E68" s="399"/>
      <c r="F68" s="64"/>
      <c r="G68" s="399" t="str">
        <f ca="1">G25</f>
        <v>Comments</v>
      </c>
      <c r="H68" s="399" t="e">
        <f>HLOOKUP(SL,LT,$O68,0)</f>
        <v>#NAME?</v>
      </c>
      <c r="I68" s="399"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5" t="s">
        <v>558</v>
      </c>
      <c r="E69" s="386"/>
      <c r="F69" s="68"/>
      <c r="G69" s="387"/>
      <c r="H69" s="388"/>
      <c r="I69" s="388"/>
      <c r="J69" s="389"/>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6"/>
      <c r="H70" s="396"/>
      <c r="I70" s="396"/>
      <c r="J70" s="396"/>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5" t="s">
        <v>558</v>
      </c>
      <c r="E71" s="386"/>
      <c r="F71" s="68"/>
      <c r="G71" s="413" t="s">
        <v>15508</v>
      </c>
      <c r="H71" s="414"/>
      <c r="I71" s="414"/>
      <c r="J71" s="41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5" t="s">
        <v>558</v>
      </c>
      <c r="E73" s="386"/>
      <c r="F73" s="68"/>
      <c r="G73" s="387"/>
      <c r="H73" s="388"/>
      <c r="I73" s="388"/>
      <c r="J73" s="389"/>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5" t="s">
        <v>559</v>
      </c>
      <c r="E75" s="386"/>
      <c r="F75" s="68"/>
      <c r="G75" s="387"/>
      <c r="H75" s="388"/>
      <c r="I75" s="388"/>
      <c r="J75" s="389"/>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5" t="s">
        <v>559</v>
      </c>
      <c r="E77" s="386"/>
      <c r="F77" s="68"/>
      <c r="G77" s="387"/>
      <c r="H77" s="388"/>
      <c r="I77" s="388"/>
      <c r="J77" s="389"/>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4" t="s">
        <v>13311</v>
      </c>
      <c r="E79" s="395"/>
      <c r="F79" s="68"/>
      <c r="G79" s="387"/>
      <c r="H79" s="388"/>
      <c r="I79" s="388"/>
      <c r="J79" s="389"/>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6"/>
      <c r="H80" s="396"/>
      <c r="I80" s="396"/>
      <c r="J80" s="396"/>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5" t="s">
        <v>558</v>
      </c>
      <c r="E81" s="386"/>
      <c r="F81" s="68"/>
      <c r="G81" s="387"/>
      <c r="H81" s="388"/>
      <c r="I81" s="388"/>
      <c r="J81" s="389"/>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7"/>
      <c r="H82" s="397"/>
      <c r="I82" s="397"/>
      <c r="J82" s="397"/>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5" t="s">
        <v>559</v>
      </c>
      <c r="E83" s="386"/>
      <c r="F83" s="68"/>
      <c r="G83" s="387"/>
      <c r="H83" s="388"/>
      <c r="I83" s="388"/>
      <c r="J83" s="389"/>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5" t="s">
        <v>559</v>
      </c>
      <c r="E85" s="386"/>
      <c r="F85" s="68"/>
      <c r="G85" s="387"/>
      <c r="H85" s="388"/>
      <c r="I85" s="388"/>
      <c r="J85" s="389"/>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93" t="str">
        <f>IF(OR($D$8="",$I$3=""),"","Click here to check required fields completion")</f>
        <v/>
      </c>
      <c r="C86" s="393"/>
      <c r="D86" s="393"/>
      <c r="E86" s="393"/>
      <c r="F86" s="393"/>
      <c r="G86" s="393"/>
      <c r="H86" s="393"/>
      <c r="I86" s="393"/>
      <c r="J86" s="393"/>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91" t="str">
        <f ca="1">OFFSET(L!$C$1,MATCH("General"&amp;"Cpy",L!$A:$A,0)-1,SL,,)</f>
        <v>© 2019 Responsible Minerals Initiative. All rights reserved.</v>
      </c>
      <c r="B87" s="392"/>
      <c r="C87" s="392"/>
      <c r="D87" s="392"/>
      <c r="E87" s="392"/>
      <c r="F87" s="392"/>
      <c r="G87" s="392"/>
      <c r="H87" s="392"/>
      <c r="I87" s="392"/>
      <c r="J87" s="392"/>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7" priority="51" stopIfTrue="1">
      <formula>AND(OR($D$26="No",AND($D$26="Yes",$D$32="No")),OR($D$27="No",AND($D$27="Yes",$D$33="No")), OR($D$28="No",AND($D$28="Yes",$D$34="No")), OR($D$29="No",AND($D$29="Yes",$D$35="No")))</formula>
    </cfRule>
    <cfRule type="expression" dxfId="86" priority="52" stopIfTrue="1">
      <formula>IF(D69="",TRUE)</formula>
    </cfRule>
  </conditionalFormatting>
  <conditionalFormatting sqref="G71:J71">
    <cfRule type="expression" dxfId="85" priority="23" stopIfTrue="1">
      <formula>IF(AND($D$71="Yes",$G$71=""),TRUE)</formula>
    </cfRule>
  </conditionalFormatting>
  <conditionalFormatting sqref="D26:E26">
    <cfRule type="expression" dxfId="84" priority="103" stopIfTrue="1">
      <formula>IF($D$26="",TRUE)</formula>
    </cfRule>
  </conditionalFormatting>
  <conditionalFormatting sqref="D27:E27">
    <cfRule type="expression" dxfId="83" priority="110" stopIfTrue="1">
      <formula>IF($D$27="",TRUE)</formula>
    </cfRule>
  </conditionalFormatting>
  <conditionalFormatting sqref="D28:E28">
    <cfRule type="expression" dxfId="82" priority="111" stopIfTrue="1">
      <formula>IF($D$28="",TRUE)</formula>
    </cfRule>
  </conditionalFormatting>
  <conditionalFormatting sqref="D29:E29">
    <cfRule type="expression" dxfId="81" priority="112" stopIfTrue="1">
      <formula>IF($D$29="",TRUE)</formula>
    </cfRule>
  </conditionalFormatting>
  <conditionalFormatting sqref="D8:J8">
    <cfRule type="expression" dxfId="80" priority="117" stopIfTrue="1">
      <formula>IF($D$8="",TRUE)</formula>
    </cfRule>
  </conditionalFormatting>
  <conditionalFormatting sqref="D9:G9">
    <cfRule type="expression" dxfId="79" priority="118" stopIfTrue="1">
      <formula>IF($D$9="",TRUE)</formula>
    </cfRule>
  </conditionalFormatting>
  <conditionalFormatting sqref="D15:J15">
    <cfRule type="expression" dxfId="78" priority="119" stopIfTrue="1">
      <formula>IF($D$15="",TRUE)</formula>
    </cfRule>
  </conditionalFormatting>
  <conditionalFormatting sqref="D16:J16">
    <cfRule type="expression" dxfId="77" priority="120" stopIfTrue="1">
      <formula>IF($D$16="",TRUE)</formula>
    </cfRule>
  </conditionalFormatting>
  <conditionalFormatting sqref="D17:J17">
    <cfRule type="expression" dxfId="76" priority="121" stopIfTrue="1">
      <formula>IF($D$17="",TRUE)</formula>
    </cfRule>
  </conditionalFormatting>
  <conditionalFormatting sqref="D18:J18">
    <cfRule type="expression" dxfId="75" priority="122" stopIfTrue="1">
      <formula>IF($D$18="",TRUE)</formula>
    </cfRule>
  </conditionalFormatting>
  <conditionalFormatting sqref="D22:E22">
    <cfRule type="expression" dxfId="74" priority="125" stopIfTrue="1">
      <formula>IF($D$22="",TRUE)</formula>
    </cfRule>
  </conditionalFormatting>
  <conditionalFormatting sqref="D10:J10">
    <cfRule type="expression" dxfId="73" priority="22" stopIfTrue="1">
      <formula>IF($D$9=$Q$9,TRUE)</formula>
    </cfRule>
    <cfRule type="expression" dxfId="72" priority="132" stopIfTrue="1">
      <formula>IF(AND($D$10="",$D$9=$R$9),TRUE)</formula>
    </cfRule>
  </conditionalFormatting>
  <conditionalFormatting sqref="D34:E34 D40:E40 D46:E46 D52:E52 D58:E58 D64:E64">
    <cfRule type="expression" dxfId="71" priority="15" stopIfTrue="1">
      <formula>$P$28=""</formula>
    </cfRule>
  </conditionalFormatting>
  <conditionalFormatting sqref="D35:E35 D41:E41 D47:E47 D53:E53 D59:E59 D65:E65">
    <cfRule type="expression" dxfId="70" priority="130" stopIfTrue="1">
      <formula>$P$29=""</formula>
    </cfRule>
  </conditionalFormatting>
  <conditionalFormatting sqref="D32:E32">
    <cfRule type="expression" dxfId="69" priority="108" stopIfTrue="1">
      <formula>$P$26=""</formula>
    </cfRule>
  </conditionalFormatting>
  <conditionalFormatting sqref="D32:E32">
    <cfRule type="expression" dxfId="68" priority="21" stopIfTrue="1">
      <formula>IF(AND(OR($D$26="Yes",$D$26=""),$D$32=""),1,0)</formula>
    </cfRule>
  </conditionalFormatting>
  <conditionalFormatting sqref="D38 D44 D50 D56 D62">
    <cfRule type="expression" dxfId="67" priority="17" stopIfTrue="1">
      <formula>$P$32=""</formula>
    </cfRule>
  </conditionalFormatting>
  <conditionalFormatting sqref="D39:E39 D45 D51 D57 D63">
    <cfRule type="expression" dxfId="66" priority="16" stopIfTrue="1">
      <formula>$P$33=""</formula>
    </cfRule>
  </conditionalFormatting>
  <conditionalFormatting sqref="D40 D46 D52 D58 D64">
    <cfRule type="expression" dxfId="65" priority="6" stopIfTrue="1">
      <formula>$P$34=""</formula>
    </cfRule>
    <cfRule type="expression" dxfId="64" priority="128" stopIfTrue="1">
      <formula>IF(AND(OR($D$28="Yes",$D$28=""),D40=""),1,0)</formula>
    </cfRule>
  </conditionalFormatting>
  <conditionalFormatting sqref="D41 D47 D53 D59 D65">
    <cfRule type="expression" dxfId="63" priority="14" stopIfTrue="1">
      <formula>$P$35=""</formula>
    </cfRule>
  </conditionalFormatting>
  <conditionalFormatting sqref="D38:E38 D44:E44 D50:E50 D56:E56 D62:E62">
    <cfRule type="expression" dxfId="62" priority="19" stopIfTrue="1">
      <formula>$P$26=""</formula>
    </cfRule>
    <cfRule type="expression" dxfId="61" priority="20" stopIfTrue="1">
      <formula>IF(AND(OR($D$26="Yes",$D$26=""),D38=""),1,0)</formula>
    </cfRule>
  </conditionalFormatting>
  <conditionalFormatting sqref="G79:J79">
    <cfRule type="expression" dxfId="60" priority="13" stopIfTrue="1">
      <formula>IF(AND($D$79="Yes, using other format (describe)",$G$79=""),TRUE)</formula>
    </cfRule>
  </conditionalFormatting>
  <conditionalFormatting sqref="D39:E39 D45:E45 D51:E51 D57:E57 D63:E63">
    <cfRule type="expression" dxfId="59" priority="126" stopIfTrue="1">
      <formula>$P$39=""</formula>
    </cfRule>
    <cfRule type="expression" dxfId="58" priority="127" stopIfTrue="1">
      <formula>IF(AND(OR($D$27="Yes",$D$27=""),D39=""),1,0)</formula>
    </cfRule>
  </conditionalFormatting>
  <conditionalFormatting sqref="D33:E33">
    <cfRule type="expression" dxfId="57" priority="8" stopIfTrue="1">
      <formula>IF(AND(OR($D$27="Yes",$D$27=""),$D$33=""),1,0)</formula>
    </cfRule>
    <cfRule type="expression" dxfId="56" priority="9" stopIfTrue="1">
      <formula>$P$27=""</formula>
    </cfRule>
  </conditionalFormatting>
  <conditionalFormatting sqref="D34:E34">
    <cfRule type="expression" dxfId="55" priority="129" stopIfTrue="1">
      <formula>IF(AND(OR($D$28="Yes",$D$28=""),$D$34=""),1,0)</formula>
    </cfRule>
  </conditionalFormatting>
  <conditionalFormatting sqref="D41:E41 D47:E47 D53:E53 D59:E59 D65:E65">
    <cfRule type="expression" dxfId="54" priority="131" stopIfTrue="1">
      <formula>IF(AND(OR($D$29="Yes",$D$29=""),D41=""),1,0)</formula>
    </cfRule>
  </conditionalFormatting>
  <conditionalFormatting sqref="D35:E35">
    <cfRule type="expression" dxfId="53" priority="5" stopIfTrue="1">
      <formula>IF(AND(OR($D$29="Yes",$D$29=""),$D$35=""),1,0)</formula>
    </cfRule>
  </conditionalFormatting>
  <conditionalFormatting sqref="D20:J20">
    <cfRule type="expression" dxfId="52" priority="1" stopIfTrue="1">
      <formula>IF($D$20="",TRUE)</formula>
    </cfRule>
  </conditionalFormatting>
  <conditionalFormatting sqref="D21:J21">
    <cfRule type="expression" dxfId="51"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M16" zoomScaleNormal="100" zoomScalePageLayoutView="55" workbookViewId="0">
      <selection activeCell="N5" sqref="N5:P21"/>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3" t="str">
        <f ca="1">OFFSET(L!$C$1,MATCH("Smelter List"&amp;ADDRESS(ROW(),COLUMN(),4),L!$A:$A,0)-1,SL,,)</f>
        <v>Link to "RMAP Conformant Smelter List"</v>
      </c>
      <c r="K2" s="444"/>
      <c r="L2" s="444"/>
      <c r="M2" s="444"/>
      <c r="N2" s="444"/>
      <c r="O2" s="444"/>
      <c r="P2" s="232"/>
      <c r="Q2" s="233"/>
      <c r="R2" s="234"/>
      <c r="S2" s="234"/>
      <c r="T2" s="234"/>
      <c r="U2" s="261"/>
      <c r="V2" s="261"/>
      <c r="W2" s="262"/>
      <c r="X2" s="261"/>
      <c r="Y2" s="261"/>
      <c r="Z2" s="261"/>
      <c r="AH2" s="178" t="s">
        <v>558</v>
      </c>
    </row>
    <row r="3" spans="1:34" s="263" customFormat="1" ht="255.6" customHeight="1">
      <c r="A3" s="204"/>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64"/>
      <c r="G3" s="446" t="str">
        <f ca="1">OFFSET(L!$C$1,MATCH("General"&amp;"Cpy",L!$A:$A,0)-1,SL,,)</f>
        <v>© 2019 Responsible Minerals Initiative. All rights reserved.</v>
      </c>
      <c r="H3" s="446"/>
      <c r="I3" s="44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47" t="s">
        <v>863</v>
      </c>
      <c r="B5" s="348" t="s">
        <v>1251</v>
      </c>
      <c r="C5" s="349" t="s">
        <v>957</v>
      </c>
      <c r="D5" s="347" t="s">
        <v>957</v>
      </c>
      <c r="E5" s="347" t="s">
        <v>15502</v>
      </c>
      <c r="F5" s="347" t="s">
        <v>863</v>
      </c>
      <c r="G5" s="347" t="s">
        <v>15503</v>
      </c>
      <c r="H5" s="350">
        <v>0</v>
      </c>
      <c r="I5" s="351" t="s">
        <v>2019</v>
      </c>
      <c r="J5" s="351" t="s">
        <v>15504</v>
      </c>
      <c r="K5" s="352"/>
      <c r="L5" s="352"/>
      <c r="M5" s="352"/>
      <c r="N5" s="352" t="s">
        <v>15509</v>
      </c>
      <c r="O5" s="352" t="s">
        <v>15509</v>
      </c>
      <c r="P5" s="219" t="s">
        <v>15509</v>
      </c>
      <c r="Q5" s="353"/>
      <c r="R5" s="216" t="str">
        <f ca="1">IF(ISERROR($V5),"",OFFSET('Smelter Look-up'!$C$4,$V5-4,0)&amp;"")</f>
        <v>EM Vinto</v>
      </c>
      <c r="S5" s="224" t="str">
        <f t="shared" ref="S5:S68" ca="1" si="0">IF(B5="","",IF(ISERROR(MATCH($E5,CL,0)),"Unknown",INDIRECT("'C'!$A$"&amp;MATCH($E5,CL,0)+1)))</f>
        <v>Unknown</v>
      </c>
      <c r="T5" s="224" t="str">
        <f ca="1">IF(B5="","",IF(ISERROR(MATCH($J5,SorP!$B$1:$B$6230,0)),"",INDIRECT("'SorP'!$A$"&amp;MATCH($J5,SorP!$B$1:$B$6230,0))))</f>
        <v/>
      </c>
      <c r="U5" s="239"/>
      <c r="V5" s="269">
        <f>IF(C5="",NA(),MATCH($B5&amp;$C5,'Smelter Look-up'!$J:$J,0))</f>
        <v>380</v>
      </c>
      <c r="W5" s="270"/>
      <c r="X5" s="270">
        <f t="shared" ref="X5:X68" si="1">IF(AND(C5="Smelter not listed",OR(LEN(D5)=0,LEN(E5)=0)),1,0)</f>
        <v>0</v>
      </c>
      <c r="Y5" s="270"/>
      <c r="Z5" s="270"/>
      <c r="AB5" s="272" t="str">
        <f t="shared" ref="AB5:AB68" si="2">B5&amp;C5</f>
        <v>TinEM Vinto</v>
      </c>
    </row>
    <row r="6" spans="1:34" s="271" customFormat="1" ht="20.100000000000001" customHeight="1">
      <c r="A6" s="347" t="s">
        <v>888</v>
      </c>
      <c r="B6" s="348" t="s">
        <v>1251</v>
      </c>
      <c r="C6" s="354" t="s">
        <v>2567</v>
      </c>
      <c r="D6" s="347" t="s">
        <v>2567</v>
      </c>
      <c r="E6" s="347" t="s">
        <v>1225</v>
      </c>
      <c r="F6" s="347" t="s">
        <v>888</v>
      </c>
      <c r="G6" s="347" t="s">
        <v>15503</v>
      </c>
      <c r="H6" s="350">
        <v>0</v>
      </c>
      <c r="I6" s="351" t="s">
        <v>2015</v>
      </c>
      <c r="J6" s="351" t="s">
        <v>15505</v>
      </c>
      <c r="K6" s="352"/>
      <c r="L6" s="352"/>
      <c r="M6" s="352"/>
      <c r="N6" s="352" t="s">
        <v>15510</v>
      </c>
      <c r="O6" s="352" t="s">
        <v>15509</v>
      </c>
      <c r="P6" s="219" t="s">
        <v>15509</v>
      </c>
      <c r="Q6" s="353"/>
      <c r="R6" s="216" t="str">
        <f ca="1">IF(ISERROR($V6),"",OFFSET('Smelter Look-up'!$C$4,$V6-4,0)&amp;"")</f>
        <v>PT Refined Bangka Tin</v>
      </c>
      <c r="S6" s="224" t="str">
        <f t="shared" ca="1" si="0"/>
        <v>ID</v>
      </c>
      <c r="T6" s="224" t="str">
        <f ca="1">IF(B6="","",IF(ISERROR(MATCH($J6,SorP!$B$1:$B$6230,0)),"",INDIRECT("'SorP'!$A$"&amp;MATCH($J6,SorP!$B$1:$B$6230,0))))</f>
        <v/>
      </c>
      <c r="U6" s="239"/>
      <c r="V6" s="269">
        <f>IF(C6="",NA(),MATCH($B6&amp;$C6,'Smelter Look-up'!$J:$J,0))</f>
        <v>466</v>
      </c>
      <c r="W6" s="270"/>
      <c r="X6" s="270">
        <f t="shared" si="1"/>
        <v>0</v>
      </c>
      <c r="Y6" s="270"/>
      <c r="Z6" s="270"/>
      <c r="AB6" s="272" t="str">
        <f t="shared" si="2"/>
        <v>TinPT Refined Bangka Tin</v>
      </c>
    </row>
    <row r="7" spans="1:34" s="271" customFormat="1" ht="20.100000000000001" customHeight="1">
      <c r="A7" s="347" t="s">
        <v>913</v>
      </c>
      <c r="B7" s="348" t="s">
        <v>1253</v>
      </c>
      <c r="C7" s="354" t="s">
        <v>1515</v>
      </c>
      <c r="D7" s="347" t="s">
        <v>1515</v>
      </c>
      <c r="E7" s="347" t="s">
        <v>1220</v>
      </c>
      <c r="F7" s="347" t="s">
        <v>913</v>
      </c>
      <c r="G7" s="347" t="s">
        <v>15503</v>
      </c>
      <c r="H7" s="350">
        <v>0</v>
      </c>
      <c r="I7" s="351" t="s">
        <v>2093</v>
      </c>
      <c r="J7" s="351" t="s">
        <v>15506</v>
      </c>
      <c r="K7" s="352"/>
      <c r="L7" s="352"/>
      <c r="M7" s="352"/>
      <c r="N7" s="352" t="s">
        <v>15509</v>
      </c>
      <c r="O7" s="352" t="s">
        <v>15509</v>
      </c>
      <c r="P7" s="219" t="s">
        <v>15509</v>
      </c>
      <c r="Q7" s="353"/>
      <c r="R7" s="216" t="str">
        <f ca="1">IF(ISERROR($V7),"",OFFSET('Smelter Look-up'!$C$4,$V7-4,0)&amp;"")</f>
        <v>Xiamen Tungsten Co., Ltd.</v>
      </c>
      <c r="S7" s="224" t="str">
        <f t="shared" ca="1" si="0"/>
        <v>CN</v>
      </c>
      <c r="T7" s="224" t="str">
        <f ca="1">IF(B7="","",IF(ISERROR(MATCH($J7,SorP!$B$1:$B$6230,0)),"",INDIRECT("'SorP'!$A$"&amp;MATCH($J7,SorP!$B$1:$B$6230,0))))</f>
        <v/>
      </c>
      <c r="U7" s="239"/>
      <c r="V7" s="269">
        <f>IF(C7="",NA(),MATCH($B7&amp;$C7,'Smelter Look-up'!$J:$J,0))</f>
        <v>582</v>
      </c>
      <c r="W7" s="270"/>
      <c r="X7" s="270">
        <f t="shared" si="1"/>
        <v>0</v>
      </c>
      <c r="Y7" s="270"/>
      <c r="Z7" s="270"/>
      <c r="AB7" s="272" t="str">
        <f t="shared" si="2"/>
        <v>TungstenXiamen Tungsten Co., Ltd.</v>
      </c>
    </row>
    <row r="8" spans="1:34" s="271" customFormat="1" ht="20.100000000000001" customHeight="1">
      <c r="A8" s="347" t="s">
        <v>909</v>
      </c>
      <c r="B8" s="348" t="s">
        <v>1253</v>
      </c>
      <c r="C8" s="354" t="s">
        <v>159</v>
      </c>
      <c r="D8" s="347" t="s">
        <v>159</v>
      </c>
      <c r="E8" s="347" t="s">
        <v>1220</v>
      </c>
      <c r="F8" s="347" t="s">
        <v>909</v>
      </c>
      <c r="G8" s="347" t="s">
        <v>15503</v>
      </c>
      <c r="H8" s="350">
        <v>0</v>
      </c>
      <c r="I8" s="351" t="s">
        <v>2024</v>
      </c>
      <c r="J8" s="351" t="s">
        <v>15507</v>
      </c>
      <c r="K8" s="352"/>
      <c r="L8" s="352"/>
      <c r="M8" s="352"/>
      <c r="N8" s="352" t="s">
        <v>15509</v>
      </c>
      <c r="O8" s="352" t="s">
        <v>15509</v>
      </c>
      <c r="P8" s="219" t="s">
        <v>15509</v>
      </c>
      <c r="Q8" s="353"/>
      <c r="R8" s="216" t="str">
        <f ca="1">IF(ISERROR($V8),"",OFFSET('Smelter Look-up'!$C$4,$V8-4,0)&amp;"")</f>
        <v>Ganzhou Huaxing Tungsten Products Co., Ltd.</v>
      </c>
      <c r="S8" s="224" t="str">
        <f t="shared" ca="1" si="0"/>
        <v>CN</v>
      </c>
      <c r="T8" s="224" t="str">
        <f ca="1">IF(B8="","",IF(ISERROR(MATCH($J8,SorP!$B$1:$B$6230,0)),"",INDIRECT("'SorP'!$A$"&amp;MATCH($J8,SorP!$B$1:$B$6230,0))))</f>
        <v/>
      </c>
      <c r="U8" s="239"/>
      <c r="V8" s="269">
        <f>IF(C8="",NA(),MATCH($B8&amp;$C8,'Smelter Look-up'!$J:$J,0))</f>
        <v>534</v>
      </c>
      <c r="W8" s="270"/>
      <c r="X8" s="270">
        <f t="shared" si="1"/>
        <v>0</v>
      </c>
      <c r="Y8" s="270"/>
      <c r="Z8" s="270"/>
      <c r="AB8" s="272" t="str">
        <f t="shared" si="2"/>
        <v>TungstenGanzhou Huaxing Tungsten Products Co., Ltd.</v>
      </c>
    </row>
    <row r="9" spans="1:34" s="271" customFormat="1" ht="20.100000000000001" customHeight="1">
      <c r="A9" s="347" t="s">
        <v>903</v>
      </c>
      <c r="B9" s="348" t="s">
        <v>1253</v>
      </c>
      <c r="C9" s="354" t="s">
        <v>1511</v>
      </c>
      <c r="D9" s="347" t="s">
        <v>1511</v>
      </c>
      <c r="E9" s="347" t="s">
        <v>1220</v>
      </c>
      <c r="F9" s="347" t="s">
        <v>903</v>
      </c>
      <c r="G9" s="347" t="s">
        <v>15503</v>
      </c>
      <c r="H9" s="350">
        <v>0</v>
      </c>
      <c r="I9" s="351" t="s">
        <v>2024</v>
      </c>
      <c r="J9" s="351" t="s">
        <v>15507</v>
      </c>
      <c r="K9" s="352"/>
      <c r="L9" s="352"/>
      <c r="M9" s="352"/>
      <c r="N9" s="352" t="s">
        <v>15509</v>
      </c>
      <c r="O9" s="352" t="s">
        <v>15509</v>
      </c>
      <c r="P9" s="219" t="s">
        <v>15509</v>
      </c>
      <c r="Q9" s="353"/>
      <c r="R9" s="216" t="str">
        <f ca="1">IF(ISERROR($V9),"",OFFSET('Smelter Look-up'!$C$4,$V9-4,0)&amp;"")</f>
        <v>Chongyi Zhangyuan Tungsten Co., Ltd.</v>
      </c>
      <c r="S9" s="224" t="str">
        <f t="shared" ca="1" si="0"/>
        <v>CN</v>
      </c>
      <c r="T9" s="224" t="str">
        <f ca="1">IF(B9="","",IF(ISERROR(MATCH($J9,SorP!$B$1:$B$6230,0)),"",INDIRECT("'SorP'!$A$"&amp;MATCH($J9,SorP!$B$1:$B$6230,0))))</f>
        <v/>
      </c>
      <c r="U9" s="239"/>
      <c r="V9" s="269">
        <f>IF(C9="",NA(),MATCH($B9&amp;$C9,'Smelter Look-up'!$J:$J,0))</f>
        <v>529</v>
      </c>
      <c r="W9" s="270"/>
      <c r="X9" s="270">
        <f t="shared" si="1"/>
        <v>0</v>
      </c>
      <c r="Y9" s="270"/>
      <c r="Z9" s="270"/>
      <c r="AB9" s="272" t="str">
        <f t="shared" si="2"/>
        <v>TungstenChongyi Zhangyuan Tungsten Co., Ltd.</v>
      </c>
    </row>
    <row r="10" spans="1:34" s="271" customFormat="1" ht="20.100000000000001" customHeight="1">
      <c r="A10" s="347" t="s">
        <v>900</v>
      </c>
      <c r="B10" s="348" t="s">
        <v>1253</v>
      </c>
      <c r="C10" s="354" t="s">
        <v>2077</v>
      </c>
      <c r="D10" s="347" t="s">
        <v>2077</v>
      </c>
      <c r="E10" s="347" t="s">
        <v>1228</v>
      </c>
      <c r="F10" s="347" t="s">
        <v>900</v>
      </c>
      <c r="G10" s="347" t="s">
        <v>15503</v>
      </c>
      <c r="H10" s="350">
        <v>0</v>
      </c>
      <c r="I10" s="351" t="s">
        <v>2539</v>
      </c>
      <c r="J10" s="351" t="s">
        <v>2540</v>
      </c>
      <c r="K10" s="352"/>
      <c r="L10" s="352"/>
      <c r="M10" s="352"/>
      <c r="N10" s="352" t="s">
        <v>15509</v>
      </c>
      <c r="O10" s="352" t="s">
        <v>15509</v>
      </c>
      <c r="P10" s="219" t="s">
        <v>15509</v>
      </c>
      <c r="Q10" s="353"/>
      <c r="R10" s="216" t="str">
        <f ca="1">IF(ISERROR($V10),"",OFFSET('Smelter Look-up'!$C$4,$V10-4,0)&amp;"")</f>
        <v>A.L.M.T. Corp.</v>
      </c>
      <c r="S10" s="224" t="str">
        <f t="shared" ca="1" si="0"/>
        <v>JP</v>
      </c>
      <c r="T10" s="224" t="str">
        <f ca="1">IF(B10="","",IF(ISERROR(MATCH($J10,SorP!$B$1:$B$6230,0)),"",INDIRECT("'SorP'!$A$"&amp;MATCH($J10,SorP!$B$1:$B$6230,0))))</f>
        <v>JP-16</v>
      </c>
      <c r="U10" s="239"/>
      <c r="V10" s="269">
        <f>IF(C10="",NA(),MATCH($B10&amp;$C10,'Smelter Look-up'!$J:$J,0))</f>
        <v>517</v>
      </c>
      <c r="W10" s="270"/>
      <c r="X10" s="270">
        <f t="shared" si="1"/>
        <v>0</v>
      </c>
      <c r="Y10" s="270"/>
      <c r="Z10" s="270"/>
      <c r="AB10" s="272" t="str">
        <f t="shared" si="2"/>
        <v>TungstenA.L.M.T. TUNGSTEN Corp.</v>
      </c>
    </row>
    <row r="11" spans="1:34" s="271" customFormat="1" ht="20.100000000000001" customHeight="1">
      <c r="A11" s="347" t="s">
        <v>746</v>
      </c>
      <c r="B11" s="348" t="s">
        <v>1250</v>
      </c>
      <c r="C11" s="354" t="s">
        <v>2907</v>
      </c>
      <c r="D11" s="347" t="s">
        <v>2907</v>
      </c>
      <c r="E11" s="347" t="s">
        <v>1228</v>
      </c>
      <c r="F11" s="347" t="s">
        <v>746</v>
      </c>
      <c r="G11" s="347" t="s">
        <v>15503</v>
      </c>
      <c r="H11" s="350">
        <v>0</v>
      </c>
      <c r="I11" s="351" t="s">
        <v>1787</v>
      </c>
      <c r="J11" s="351" t="s">
        <v>1788</v>
      </c>
      <c r="K11" s="352"/>
      <c r="L11" s="352"/>
      <c r="M11" s="352"/>
      <c r="N11" s="352" t="s">
        <v>15510</v>
      </c>
      <c r="O11" s="352" t="s">
        <v>15509</v>
      </c>
      <c r="P11" s="219" t="s">
        <v>15509</v>
      </c>
      <c r="Q11" s="353"/>
      <c r="R11" s="216" t="str">
        <f ca="1">IF(ISERROR($V11),"",OFFSET('Smelter Look-up'!$C$4,$V11-4,0)&amp;"")</f>
        <v>Asahi Pretec Corp.</v>
      </c>
      <c r="S11" s="224" t="str">
        <f t="shared" ca="1" si="0"/>
        <v>JP</v>
      </c>
      <c r="T11" s="224" t="str">
        <f ca="1">IF(B11="","",IF(ISERROR(MATCH($J11,SorP!$B$1:$B$6230,0)),"",INDIRECT("'SorP'!$A$"&amp;MATCH($J11,SorP!$B$1:$B$6230,0))))</f>
        <v>JP-28</v>
      </c>
      <c r="U11" s="239"/>
      <c r="V11" s="269">
        <f>IF(C11="",NA(),MATCH($B11&amp;$C11,'Smelter Look-up'!$J:$J,0))</f>
        <v>24</v>
      </c>
      <c r="W11" s="270"/>
      <c r="X11" s="270">
        <f t="shared" si="1"/>
        <v>0</v>
      </c>
      <c r="Y11" s="270"/>
      <c r="Z11" s="270"/>
      <c r="AB11" s="272" t="str">
        <f t="shared" si="2"/>
        <v>GoldAsahi Pretec Corp.</v>
      </c>
    </row>
    <row r="12" spans="1:34" s="271" customFormat="1" ht="76.5">
      <c r="A12" s="347" t="s">
        <v>776</v>
      </c>
      <c r="B12" s="348" t="s">
        <v>1250</v>
      </c>
      <c r="C12" s="354" t="s">
        <v>1354</v>
      </c>
      <c r="D12" s="347" t="s">
        <v>1354</v>
      </c>
      <c r="E12" s="347" t="s">
        <v>1228</v>
      </c>
      <c r="F12" s="347" t="s">
        <v>776</v>
      </c>
      <c r="G12" s="347" t="s">
        <v>15503</v>
      </c>
      <c r="H12" s="350">
        <v>0</v>
      </c>
      <c r="I12" s="351" t="s">
        <v>1832</v>
      </c>
      <c r="J12" s="351" t="s">
        <v>1818</v>
      </c>
      <c r="K12" s="352"/>
      <c r="L12" s="352"/>
      <c r="M12" s="352"/>
      <c r="N12" s="352" t="s">
        <v>15509</v>
      </c>
      <c r="O12" s="352" t="s">
        <v>15509</v>
      </c>
      <c r="P12" s="219" t="s">
        <v>15509</v>
      </c>
      <c r="Q12" s="353"/>
      <c r="R12" s="216" t="str">
        <f ca="1">IF(ISERROR($V12),"",OFFSET('Smelter Look-up'!$C$4,$V12-4,0)&amp;"")</f>
        <v>Ishifuku Metal Industry Co., Ltd.</v>
      </c>
      <c r="S12" s="224" t="str">
        <f t="shared" ca="1" si="0"/>
        <v>JP</v>
      </c>
      <c r="T12" s="224" t="str">
        <f ca="1">IF(B12="","",IF(ISERROR(MATCH($J12,SorP!$B$1:$B$6230,0)),"",INDIRECT("'SorP'!$A$"&amp;MATCH($J12,SorP!$B$1:$B$6230,0))))</f>
        <v>JP-11</v>
      </c>
      <c r="U12" s="239"/>
      <c r="V12" s="269">
        <f>IF(C12="",NA(),MATCH($B12&amp;$C12,'Smelter Look-up'!$J:$J,0))</f>
        <v>101</v>
      </c>
      <c r="W12" s="270"/>
      <c r="X12" s="270">
        <f t="shared" si="1"/>
        <v>0</v>
      </c>
      <c r="Y12" s="270"/>
      <c r="Z12" s="270"/>
      <c r="AB12" s="272" t="str">
        <f t="shared" si="2"/>
        <v>GoldIshifuku Metal Industry Co., Ltd.</v>
      </c>
    </row>
    <row r="13" spans="1:34" s="271" customFormat="1" ht="76.5">
      <c r="A13" s="347" t="s">
        <v>784</v>
      </c>
      <c r="B13" s="348" t="s">
        <v>1250</v>
      </c>
      <c r="C13" s="354" t="s">
        <v>59</v>
      </c>
      <c r="D13" s="347" t="s">
        <v>59</v>
      </c>
      <c r="E13" s="347" t="s">
        <v>1228</v>
      </c>
      <c r="F13" s="347" t="s">
        <v>784</v>
      </c>
      <c r="G13" s="347" t="s">
        <v>15503</v>
      </c>
      <c r="H13" s="350">
        <v>0</v>
      </c>
      <c r="I13" s="351" t="s">
        <v>3000</v>
      </c>
      <c r="J13" s="351" t="s">
        <v>3000</v>
      </c>
      <c r="K13" s="352"/>
      <c r="L13" s="352"/>
      <c r="M13" s="352"/>
      <c r="N13" s="352" t="s">
        <v>15509</v>
      </c>
      <c r="O13" s="352" t="s">
        <v>15509</v>
      </c>
      <c r="P13" s="219" t="s">
        <v>15509</v>
      </c>
      <c r="Q13" s="353"/>
      <c r="R13" s="216" t="str">
        <f ca="1">IF(ISERROR($V13),"",OFFSET('Smelter Look-up'!$C$4,$V13-4,0)&amp;"")</f>
        <v>JX Nippon Mining &amp; Metals Co., Ltd.</v>
      </c>
      <c r="S13" s="224" t="str">
        <f t="shared" ca="1" si="0"/>
        <v>JP</v>
      </c>
      <c r="T13" s="224" t="str">
        <f ca="1">IF(B13="","",IF(ISERROR(MATCH($J13,SorP!$B$1:$B$6230,0)),"",INDIRECT("'SorP'!$A$"&amp;MATCH($J13,SorP!$B$1:$B$6230,0))))</f>
        <v/>
      </c>
      <c r="U13" s="239"/>
      <c r="V13" s="269">
        <f>IF(C13="",NA(),MATCH($B13&amp;$C13,'Smelter Look-up'!$J:$J,0))</f>
        <v>113</v>
      </c>
      <c r="W13" s="270"/>
      <c r="X13" s="270">
        <f t="shared" si="1"/>
        <v>0</v>
      </c>
      <c r="Y13" s="270"/>
      <c r="Z13" s="270"/>
      <c r="AB13" s="272" t="str">
        <f t="shared" si="2"/>
        <v>GoldJX Nippon Mining &amp; Metals Co., Ltd.</v>
      </c>
    </row>
    <row r="14" spans="1:34" s="271" customFormat="1" ht="63.75">
      <c r="A14" s="347" t="s">
        <v>796</v>
      </c>
      <c r="B14" s="348" t="s">
        <v>1250</v>
      </c>
      <c r="C14" s="354" t="s">
        <v>61</v>
      </c>
      <c r="D14" s="347" t="s">
        <v>61</v>
      </c>
      <c r="E14" s="347" t="s">
        <v>1228</v>
      </c>
      <c r="F14" s="347" t="s">
        <v>796</v>
      </c>
      <c r="G14" s="347" t="s">
        <v>15503</v>
      </c>
      <c r="H14" s="350">
        <v>0</v>
      </c>
      <c r="I14" s="351" t="s">
        <v>1856</v>
      </c>
      <c r="J14" s="351" t="s">
        <v>1818</v>
      </c>
      <c r="K14" s="352"/>
      <c r="L14" s="352"/>
      <c r="M14" s="352"/>
      <c r="N14" s="352" t="s">
        <v>15509</v>
      </c>
      <c r="O14" s="352" t="s">
        <v>15509</v>
      </c>
      <c r="P14" s="219" t="s">
        <v>15509</v>
      </c>
      <c r="Q14" s="353"/>
      <c r="R14" s="216" t="str">
        <f ca="1">IF(ISERROR($V14),"",OFFSET('Smelter Look-up'!$C$4,$V14-4,0)&amp;"")</f>
        <v>Matsuda Sangyo Co., Ltd.</v>
      </c>
      <c r="S14" s="224" t="str">
        <f t="shared" ca="1" si="0"/>
        <v>JP</v>
      </c>
      <c r="T14" s="224" t="str">
        <f ca="1">IF(B14="","",IF(ISERROR(MATCH($J14,SorP!$B$1:$B$6230,0)),"",INDIRECT("'SorP'!$A$"&amp;MATCH($J14,SorP!$B$1:$B$6230,0))))</f>
        <v>JP-11</v>
      </c>
      <c r="U14" s="239"/>
      <c r="V14" s="269">
        <f>IF(C14="",NA(),MATCH($B14&amp;$C14,'Smelter Look-up'!$J:$J,0))</f>
        <v>141</v>
      </c>
      <c r="W14" s="270"/>
      <c r="X14" s="270">
        <f t="shared" si="1"/>
        <v>0</v>
      </c>
      <c r="Y14" s="270"/>
      <c r="Z14" s="270"/>
      <c r="AB14" s="272" t="str">
        <f t="shared" si="2"/>
        <v>GoldMatsuda Sangyo Co., Ltd.</v>
      </c>
    </row>
    <row r="15" spans="1:34" s="271" customFormat="1" ht="76.5">
      <c r="A15" s="347" t="s">
        <v>802</v>
      </c>
      <c r="B15" s="348" t="s">
        <v>1250</v>
      </c>
      <c r="C15" s="354" t="s">
        <v>1285</v>
      </c>
      <c r="D15" s="347" t="s">
        <v>1285</v>
      </c>
      <c r="E15" s="347" t="s">
        <v>1228</v>
      </c>
      <c r="F15" s="347" t="s">
        <v>802</v>
      </c>
      <c r="G15" s="347" t="s">
        <v>15503</v>
      </c>
      <c r="H15" s="350">
        <v>0</v>
      </c>
      <c r="I15" s="351" t="s">
        <v>1865</v>
      </c>
      <c r="J15" s="351" t="s">
        <v>2645</v>
      </c>
      <c r="K15" s="352"/>
      <c r="L15" s="352"/>
      <c r="M15" s="352"/>
      <c r="N15" s="352" t="s">
        <v>15509</v>
      </c>
      <c r="O15" s="352" t="s">
        <v>15509</v>
      </c>
      <c r="P15" s="219" t="s">
        <v>15509</v>
      </c>
      <c r="Q15" s="353"/>
      <c r="R15" s="216" t="str">
        <f ca="1">IF(ISERROR($V15),"",OFFSET('Smelter Look-up'!$C$4,$V15-4,0)&amp;"")</f>
        <v>Mitsubishi Materials Corporation</v>
      </c>
      <c r="S15" s="224" t="str">
        <f t="shared" ca="1" si="0"/>
        <v>JP</v>
      </c>
      <c r="T15" s="224" t="str">
        <f ca="1">IF(B15="","",IF(ISERROR(MATCH($J15,SorP!$B$1:$B$6230,0)),"",INDIRECT("'SorP'!$A$"&amp;MATCH($J15,SorP!$B$1:$B$6230,0))))</f>
        <v>JP-37</v>
      </c>
      <c r="U15" s="239"/>
      <c r="V15" s="269">
        <f>IF(C15="",NA(),MATCH($B15&amp;$C15,'Smelter Look-up'!$J:$J,0))</f>
        <v>155</v>
      </c>
      <c r="W15" s="270"/>
      <c r="X15" s="270">
        <f t="shared" si="1"/>
        <v>0</v>
      </c>
      <c r="Y15" s="270"/>
      <c r="Z15" s="270"/>
      <c r="AB15" s="272" t="str">
        <f t="shared" si="2"/>
        <v>GoldMitsubishi Materials Corporation</v>
      </c>
    </row>
    <row r="16" spans="1:34" s="271" customFormat="1" ht="89.25">
      <c r="A16" s="347" t="s">
        <v>803</v>
      </c>
      <c r="B16" s="348" t="s">
        <v>1250</v>
      </c>
      <c r="C16" s="354" t="s">
        <v>1356</v>
      </c>
      <c r="D16" s="347" t="s">
        <v>1356</v>
      </c>
      <c r="E16" s="347" t="s">
        <v>1228</v>
      </c>
      <c r="F16" s="347" t="s">
        <v>803</v>
      </c>
      <c r="G16" s="347" t="s">
        <v>15503</v>
      </c>
      <c r="H16" s="350">
        <v>0</v>
      </c>
      <c r="I16" s="351" t="s">
        <v>1867</v>
      </c>
      <c r="J16" s="351" t="s">
        <v>1866</v>
      </c>
      <c r="K16" s="352"/>
      <c r="L16" s="352"/>
      <c r="M16" s="352"/>
      <c r="N16" s="352" t="s">
        <v>15510</v>
      </c>
      <c r="O16" s="352" t="s">
        <v>15509</v>
      </c>
      <c r="P16" s="219" t="s">
        <v>15509</v>
      </c>
      <c r="Q16" s="353"/>
      <c r="R16" s="216" t="str">
        <f ca="1">IF(ISERROR($V16),"",OFFSET('Smelter Look-up'!$C$4,$V16-4,0)&amp;"")</f>
        <v>Mitsui Mining and Smelting Co., Ltd.</v>
      </c>
      <c r="S16" s="224" t="str">
        <f t="shared" ca="1" si="0"/>
        <v>JP</v>
      </c>
      <c r="T16" s="224" t="str">
        <f ca="1">IF(B16="","",IF(ISERROR(MATCH($J16,SorP!$B$1:$B$6230,0)),"",INDIRECT("'SorP'!$A$"&amp;MATCH($J16,SorP!$B$1:$B$6230,0))))</f>
        <v>JP-34</v>
      </c>
      <c r="U16" s="239"/>
      <c r="V16" s="269">
        <f>IF(C16="",NA(),MATCH($B16&amp;$C16,'Smelter Look-up'!$J:$J,0))</f>
        <v>157</v>
      </c>
      <c r="W16" s="270"/>
      <c r="X16" s="270">
        <f t="shared" si="1"/>
        <v>0</v>
      </c>
      <c r="Y16" s="270"/>
      <c r="Z16" s="270"/>
      <c r="AB16" s="272" t="str">
        <f t="shared" si="2"/>
        <v>GoldMitsui Mining and Smelting Co., Ltd.</v>
      </c>
    </row>
    <row r="17" spans="1:28" s="271" customFormat="1" ht="63.75">
      <c r="A17" s="347" t="s">
        <v>807</v>
      </c>
      <c r="B17" s="348" t="s">
        <v>1250</v>
      </c>
      <c r="C17" s="354" t="s">
        <v>2564</v>
      </c>
      <c r="D17" s="347" t="s">
        <v>2564</v>
      </c>
      <c r="E17" s="347" t="s">
        <v>1228</v>
      </c>
      <c r="F17" s="347" t="s">
        <v>807</v>
      </c>
      <c r="G17" s="347" t="s">
        <v>15503</v>
      </c>
      <c r="H17" s="350">
        <v>0</v>
      </c>
      <c r="I17" s="351" t="s">
        <v>1872</v>
      </c>
      <c r="J17" s="351" t="s">
        <v>1873</v>
      </c>
      <c r="K17" s="352"/>
      <c r="L17" s="352"/>
      <c r="M17" s="352"/>
      <c r="N17" s="352" t="s">
        <v>15509</v>
      </c>
      <c r="O17" s="352" t="s">
        <v>15509</v>
      </c>
      <c r="P17" s="219" t="s">
        <v>15509</v>
      </c>
      <c r="Q17" s="353"/>
      <c r="R17" s="216" t="str">
        <f ca="1">IF(ISERROR($V17),"",OFFSET('Smelter Look-up'!$C$4,$V17-4,0)&amp;"")</f>
        <v>Nihon Material Co., Ltd.</v>
      </c>
      <c r="S17" s="224" t="str">
        <f t="shared" ca="1" si="0"/>
        <v>JP</v>
      </c>
      <c r="T17" s="224" t="str">
        <f ca="1">IF(B17="","",IF(ISERROR(MATCH($J17,SorP!$B$1:$B$6230,0)),"",INDIRECT("'SorP'!$A$"&amp;MATCH($J17,SorP!$B$1:$B$6230,0))))</f>
        <v>JP-12</v>
      </c>
      <c r="U17" s="239"/>
      <c r="V17" s="269">
        <f>IF(C17="",NA(),MATCH($B17&amp;$C17,'Smelter Look-up'!$J:$J,0))</f>
        <v>167</v>
      </c>
      <c r="W17" s="270"/>
      <c r="X17" s="270">
        <f t="shared" si="1"/>
        <v>0</v>
      </c>
      <c r="Y17" s="270"/>
      <c r="Z17" s="270"/>
      <c r="AB17" s="272" t="str">
        <f t="shared" si="2"/>
        <v>GoldNihon Material Co., Ltd.</v>
      </c>
    </row>
    <row r="18" spans="1:28" s="271" customFormat="1" ht="76.5">
      <c r="A18" s="347" t="s">
        <v>823</v>
      </c>
      <c r="B18" s="348" t="s">
        <v>1250</v>
      </c>
      <c r="C18" s="354" t="s">
        <v>62</v>
      </c>
      <c r="D18" s="347" t="s">
        <v>62</v>
      </c>
      <c r="E18" s="347" t="s">
        <v>1228</v>
      </c>
      <c r="F18" s="347" t="s">
        <v>823</v>
      </c>
      <c r="G18" s="347" t="s">
        <v>15503</v>
      </c>
      <c r="H18" s="350">
        <v>0</v>
      </c>
      <c r="I18" s="351" t="s">
        <v>1902</v>
      </c>
      <c r="J18" s="351" t="s">
        <v>2646</v>
      </c>
      <c r="K18" s="352"/>
      <c r="L18" s="352"/>
      <c r="M18" s="352"/>
      <c r="N18" s="352" t="s">
        <v>15509</v>
      </c>
      <c r="O18" s="352" t="s">
        <v>15509</v>
      </c>
      <c r="P18" s="219" t="s">
        <v>15509</v>
      </c>
      <c r="Q18" s="353"/>
      <c r="R18" s="216" t="str">
        <f ca="1">IF(ISERROR($V18),"",OFFSET('Smelter Look-up'!$C$4,$V18-4,0)&amp;"")</f>
        <v>Sumitomo Metal Mining Co., Ltd.</v>
      </c>
      <c r="S18" s="224" t="str">
        <f t="shared" ca="1" si="0"/>
        <v>JP</v>
      </c>
      <c r="T18" s="224" t="str">
        <f ca="1">IF(B18="","",IF(ISERROR(MATCH($J18,SorP!$B$1:$B$6230,0)),"",INDIRECT("'SorP'!$A$"&amp;MATCH($J18,SorP!$B$1:$B$6230,0))))</f>
        <v>JP-38</v>
      </c>
      <c r="U18" s="239"/>
      <c r="V18" s="269">
        <f>IF(C18="",NA(),MATCH($B18&amp;$C18,'Smelter Look-up'!$J:$J,0))</f>
        <v>231</v>
      </c>
      <c r="W18" s="270"/>
      <c r="X18" s="270">
        <f t="shared" si="1"/>
        <v>0</v>
      </c>
      <c r="Y18" s="270"/>
      <c r="Z18" s="270"/>
      <c r="AB18" s="272" t="str">
        <f t="shared" si="2"/>
        <v>GoldSumitomo Metal Mining Co., Ltd.</v>
      </c>
    </row>
    <row r="19" spans="1:28" s="271" customFormat="1" ht="63.75">
      <c r="A19" s="347" t="s">
        <v>824</v>
      </c>
      <c r="B19" s="348" t="s">
        <v>1250</v>
      </c>
      <c r="C19" s="354" t="s">
        <v>1359</v>
      </c>
      <c r="D19" s="347" t="s">
        <v>1359</v>
      </c>
      <c r="E19" s="347" t="s">
        <v>1228</v>
      </c>
      <c r="F19" s="347" t="s">
        <v>824</v>
      </c>
      <c r="G19" s="347" t="s">
        <v>15503</v>
      </c>
      <c r="H19" s="350">
        <v>0</v>
      </c>
      <c r="I19" s="351" t="s">
        <v>1904</v>
      </c>
      <c r="J19" s="351" t="s">
        <v>1905</v>
      </c>
      <c r="K19" s="352"/>
      <c r="L19" s="352"/>
      <c r="M19" s="352"/>
      <c r="N19" s="352" t="s">
        <v>15509</v>
      </c>
      <c r="O19" s="352" t="s">
        <v>15509</v>
      </c>
      <c r="P19" s="219" t="s">
        <v>15509</v>
      </c>
      <c r="Q19" s="353"/>
      <c r="R19" s="216" t="str">
        <f ca="1">IF(ISERROR($V19),"",OFFSET('Smelter Look-up'!$C$4,$V19-4,0)&amp;"")</f>
        <v>Tanaka Kikinzoku Kogyo K.K.</v>
      </c>
      <c r="S19" s="224" t="str">
        <f t="shared" ca="1" si="0"/>
        <v>JP</v>
      </c>
      <c r="T19" s="224" t="str">
        <f ca="1">IF(B19="","",IF(ISERROR(MATCH($J19,SorP!$B$1:$B$6230,0)),"",INDIRECT("'SorP'!$A$"&amp;MATCH($J19,SorP!$B$1:$B$6230,0))))</f>
        <v>JP-14</v>
      </c>
      <c r="U19" s="239"/>
      <c r="V19" s="269">
        <f>IF(C19="",NA(),MATCH($B19&amp;$C19,'Smelter Look-up'!$J:$J,0))</f>
        <v>243</v>
      </c>
      <c r="W19" s="270"/>
      <c r="X19" s="270">
        <f t="shared" si="1"/>
        <v>0</v>
      </c>
      <c r="Y19" s="270"/>
      <c r="Z19" s="270"/>
      <c r="AB19" s="272" t="str">
        <f t="shared" si="2"/>
        <v>GoldTanaka Kikinzoku Kogyo K.K.</v>
      </c>
    </row>
    <row r="20" spans="1:28" s="271" customFormat="1" ht="63.75">
      <c r="A20" s="347" t="s">
        <v>827</v>
      </c>
      <c r="B20" s="348" t="s">
        <v>1250</v>
      </c>
      <c r="C20" s="354" t="s">
        <v>2574</v>
      </c>
      <c r="D20" s="347" t="s">
        <v>2574</v>
      </c>
      <c r="E20" s="347" t="s">
        <v>1228</v>
      </c>
      <c r="F20" s="347" t="s">
        <v>827</v>
      </c>
      <c r="G20" s="347" t="s">
        <v>15503</v>
      </c>
      <c r="H20" s="350">
        <v>0</v>
      </c>
      <c r="I20" s="351" t="s">
        <v>1910</v>
      </c>
      <c r="J20" s="351" t="s">
        <v>1818</v>
      </c>
      <c r="K20" s="352"/>
      <c r="L20" s="352"/>
      <c r="M20" s="352"/>
      <c r="N20" s="352" t="s">
        <v>15509</v>
      </c>
      <c r="O20" s="352" t="s">
        <v>15509</v>
      </c>
      <c r="P20" s="219" t="s">
        <v>15509</v>
      </c>
      <c r="Q20" s="353"/>
      <c r="R20" s="216" t="str">
        <f ca="1">IF(ISERROR($V20),"",OFFSET('Smelter Look-up'!$C$4,$V20-4,0)&amp;"")</f>
        <v>Tokuriki Honten Co., Ltd.</v>
      </c>
      <c r="S20" s="224" t="str">
        <f t="shared" ca="1" si="0"/>
        <v>JP</v>
      </c>
      <c r="T20" s="224" t="str">
        <f ca="1">IF(B20="","",IF(ISERROR(MATCH($J20,SorP!$B$1:$B$6230,0)),"",INDIRECT("'SorP'!$A$"&amp;MATCH($J20,SorP!$B$1:$B$6230,0))))</f>
        <v>JP-11</v>
      </c>
      <c r="U20" s="239"/>
      <c r="V20" s="269">
        <f>IF(C20="",NA(),MATCH($B20&amp;$C20,'Smelter Look-up'!$J:$J,0))</f>
        <v>248</v>
      </c>
      <c r="W20" s="270"/>
      <c r="X20" s="270">
        <f t="shared" si="1"/>
        <v>0</v>
      </c>
      <c r="Y20" s="270"/>
      <c r="Z20" s="270"/>
      <c r="AB20" s="272" t="str">
        <f t="shared" si="2"/>
        <v>GoldTokuriki Honten Co., Ltd.</v>
      </c>
    </row>
    <row r="21" spans="1:28" s="271" customFormat="1" ht="76.5">
      <c r="A21" s="347" t="s">
        <v>908</v>
      </c>
      <c r="B21" s="348" t="s">
        <v>1253</v>
      </c>
      <c r="C21" s="354" t="s">
        <v>1514</v>
      </c>
      <c r="D21" s="347" t="s">
        <v>1514</v>
      </c>
      <c r="E21" s="347" t="s">
        <v>1228</v>
      </c>
      <c r="F21" s="347" t="s">
        <v>908</v>
      </c>
      <c r="G21" s="347" t="s">
        <v>15503</v>
      </c>
      <c r="H21" s="350">
        <v>0</v>
      </c>
      <c r="I21" s="351" t="s">
        <v>2542</v>
      </c>
      <c r="J21" s="351" t="s">
        <v>1813</v>
      </c>
      <c r="K21" s="352"/>
      <c r="L21" s="352"/>
      <c r="M21" s="352"/>
      <c r="N21" s="352" t="s">
        <v>15510</v>
      </c>
      <c r="O21" s="352" t="s">
        <v>15509</v>
      </c>
      <c r="P21" s="219" t="s">
        <v>15509</v>
      </c>
      <c r="Q21" s="353"/>
      <c r="R21" s="216" t="str">
        <f ca="1">IF(ISERROR($V21),"",OFFSET('Smelter Look-up'!$C$4,$V21-4,0)&amp;"")</f>
        <v>Japan New Metals Co., Ltd.</v>
      </c>
      <c r="S21" s="224" t="str">
        <f t="shared" ca="1" si="0"/>
        <v>JP</v>
      </c>
      <c r="T21" s="224" t="str">
        <f ca="1">IF(B21="","",IF(ISERROR(MATCH($J21,SorP!$B$1:$B$6230,0)),"",INDIRECT("'SorP'!$A$"&amp;MATCH($J21,SorP!$B$1:$B$6230,0))))</f>
        <v>JP-05</v>
      </c>
      <c r="U21" s="239"/>
      <c r="V21" s="269">
        <f>IF(C21="",NA(),MATCH($B21&amp;$C21,'Smelter Look-up'!$J:$J,0))</f>
        <v>550</v>
      </c>
      <c r="W21" s="270"/>
      <c r="X21" s="270">
        <f t="shared" si="1"/>
        <v>0</v>
      </c>
      <c r="Y21" s="270"/>
      <c r="Z21" s="270"/>
      <c r="AB21" s="272" t="str">
        <f t="shared" si="2"/>
        <v>TungstenJapan New Metals Co., Ltd.</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50" priority="35" stopIfTrue="1">
      <formula>IF(B586="",TRUE)</formula>
    </cfRule>
    <cfRule type="expression" dxfId="49" priority="46" stopIfTrue="1">
      <formula>IF(AND(COUNTIF(MetalSmelter,B586&amp;C586)=0,LEN(C586)&gt;0), TRUE, FALSE)</formula>
    </cfRule>
  </conditionalFormatting>
  <conditionalFormatting sqref="D586:D2493">
    <cfRule type="expression" dxfId="48" priority="29" stopIfTrue="1">
      <formula>IF(AND(LEN($C586) &gt;0, ($C586 &lt;&gt; "Smelter Not Listed")),1,0)</formula>
    </cfRule>
    <cfRule type="expression" dxfId="47" priority="54" stopIfTrue="1">
      <formula>IF(AND(D586="",$C586=$X$4),TRUE)</formula>
    </cfRule>
    <cfRule type="expression" dxfId="46" priority="55" stopIfTrue="1">
      <formula>IF(FIND("!",D586),TRUE)</formula>
    </cfRule>
  </conditionalFormatting>
  <conditionalFormatting sqref="G586:G2493">
    <cfRule type="expression" dxfId="45" priority="56" stopIfTrue="1">
      <formula>IF(FIND("Enter smelter details",G586),TRUE)</formula>
    </cfRule>
  </conditionalFormatting>
  <conditionalFormatting sqref="R586:R2494 E586:E2493">
    <cfRule type="expression" dxfId="44" priority="42" stopIfTrue="1">
      <formula>IF(AND(E586="",$C586=$X$4),TRUE)</formula>
    </cfRule>
    <cfRule type="expression" dxfId="43" priority="43" stopIfTrue="1">
      <formula>IF(FIND("!",E586),TRUE)</formula>
    </cfRule>
  </conditionalFormatting>
  <conditionalFormatting sqref="F586:F2493">
    <cfRule type="expression" dxfId="42" priority="33" stopIfTrue="1">
      <formula>IF(AND(LEN($A586)&gt;0,$A586&lt;&gt;$F586),TRUE,FALSE)</formula>
    </cfRule>
  </conditionalFormatting>
  <conditionalFormatting sqref="C586:C2493">
    <cfRule type="expression" dxfId="41" priority="32" stopIfTrue="1">
      <formula>IF(AND(B586&lt;&gt;"",C586=""),TRUE)</formula>
    </cfRule>
  </conditionalFormatting>
  <conditionalFormatting sqref="B22:B585">
    <cfRule type="expression" dxfId="40" priority="11" stopIfTrue="1">
      <formula>IF(B22="",TRUE)</formula>
    </cfRule>
    <cfRule type="expression" dxfId="39" priority="14" stopIfTrue="1">
      <formula>IF(AND(COUNTIF(MetalSmelter,B22&amp;C22)=0,LEN(C22)&gt;0), TRUE, FALSE)</formula>
    </cfRule>
  </conditionalFormatting>
  <conditionalFormatting sqref="D22:D585">
    <cfRule type="expression" dxfId="38" priority="8" stopIfTrue="1">
      <formula>IF(AND(LEN($C22) &gt;0, ($C22 &lt;&gt; "Smelter Not Listed")),1,0)</formula>
    </cfRule>
    <cfRule type="expression" dxfId="37" priority="15" stopIfTrue="1">
      <formula>IF(AND(D22="",$C22=$X$4),TRUE)</formula>
    </cfRule>
    <cfRule type="expression" dxfId="36" priority="16" stopIfTrue="1">
      <formula>IF(FIND("!",D22),TRUE)</formula>
    </cfRule>
  </conditionalFormatting>
  <conditionalFormatting sqref="G22:G585">
    <cfRule type="expression" dxfId="35" priority="17" stopIfTrue="1">
      <formula>IF(FIND("Enter smelter details",G22),TRUE)</formula>
    </cfRule>
  </conditionalFormatting>
  <conditionalFormatting sqref="R5:R585 E22:E585">
    <cfRule type="expression" dxfId="34" priority="12" stopIfTrue="1">
      <formula>IF(AND(E5="",$C5=$X$4),TRUE)</formula>
    </cfRule>
    <cfRule type="expression" dxfId="33" priority="13" stopIfTrue="1">
      <formula>IF(FIND("!",E5),TRUE)</formula>
    </cfRule>
  </conditionalFormatting>
  <conditionalFormatting sqref="F22:F585">
    <cfRule type="expression" dxfId="32" priority="10" stopIfTrue="1">
      <formula>IF(AND(LEN($A22)&gt;0,$A22&lt;&gt;$F22),TRUE,FALSE)</formula>
    </cfRule>
  </conditionalFormatting>
  <conditionalFormatting sqref="C22:C585">
    <cfRule type="expression" dxfId="31" priority="9" stopIfTrue="1">
      <formula>IF(AND(B22&lt;&gt;"",C22=""),TRUE)</formula>
    </cfRule>
  </conditionalFormatting>
  <conditionalFormatting sqref="B5:B21">
    <cfRule type="expression" dxfId="30" priority="3" stopIfTrue="1">
      <formula>IF(B5="",TRUE)</formula>
    </cfRule>
    <cfRule type="expression" dxfId="29" priority="4" stopIfTrue="1">
      <formula>IF(AND(COUNTIF(MetalSmelter,B5&amp;C5)=0,LEN(C5)&gt;0), TRUE, FALSE)</formula>
    </cfRule>
  </conditionalFormatting>
  <conditionalFormatting sqref="D5:E21">
    <cfRule type="expression" dxfId="28" priority="5" stopIfTrue="1">
      <formula>IF(AND(D5="",$C5=$U$4),TRUE)</formula>
    </cfRule>
    <cfRule type="expression" dxfId="27" priority="6" stopIfTrue="1">
      <formula>IF(FIND("!",D5),TRUE)</formula>
    </cfRule>
  </conditionalFormatting>
  <conditionalFormatting sqref="G5:G21">
    <cfRule type="expression" dxfId="26" priority="7" stopIfTrue="1">
      <formula>IF(FIND("Enter smelter details",G5),TRUE)</formula>
    </cfRule>
  </conditionalFormatting>
  <conditionalFormatting sqref="F5:F21">
    <cfRule type="expression" dxfId="25" priority="2" stopIfTrue="1">
      <formula>IF(AND(LEN($A5)&gt;0,$A5&lt;&gt;$F5),TRUE,FALSE)</formula>
    </cfRule>
  </conditionalFormatting>
  <conditionalFormatting sqref="C5:C21">
    <cfRule type="expression" dxfId="24" priority="1"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Hong Kong X'Tals Limited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Ronald Chan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Ronald.Chan@hongkongcrystal.com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852-35112388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Kevin Chu</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Kevin.Chu@hongkongcrystal.com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852-35112388</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43585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https://www.hongkongcrystal.com/environmental/</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B22"/>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9"/>
    </row>
    <row r="2" spans="1:6">
      <c r="A2" s="29"/>
      <c r="B2" s="151"/>
      <c r="C2" s="151"/>
      <c r="D2"/>
      <c r="E2" s="30"/>
    </row>
    <row r="3" spans="1:6">
      <c r="A3" s="29"/>
      <c r="B3" s="151"/>
      <c r="C3" s="151"/>
      <c r="D3" s="151"/>
      <c r="E3" s="30"/>
    </row>
    <row r="4" spans="1:6" ht="15.75" customHeight="1">
      <c r="A4" s="29"/>
      <c r="B4" s="449" t="s">
        <v>1014</v>
      </c>
      <c r="C4" s="449"/>
      <c r="D4" s="449"/>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52" t="str">
        <f ca="1">OFFSET(L!$C$1,MATCH("General"&amp;"Cpy",L!$A:$A,0)-1,SL,,)</f>
        <v>© 2019 Responsible Minerals Initiative. All rights reserved.</v>
      </c>
      <c r="C1001" s="452"/>
      <c r="D1001" s="45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Paul van Haarlem</cp:lastModifiedBy>
  <cp:lastPrinted>2015-04-21T20:47:43Z</cp:lastPrinted>
  <dcterms:created xsi:type="dcterms:W3CDTF">2010-06-21T21:00:23Z</dcterms:created>
  <dcterms:modified xsi:type="dcterms:W3CDTF">2020-02-21T09:51:50Z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