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codeName="ThisWorkbook" autoCompressPictures="0"/>
  <workbookProtection workbookPassword="E31B" lockStructure="1"/>
  <bookViews>
    <workbookView xWindow="0" yWindow="0" windowWidth="19200" windowHeight="735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C285" i="5"/>
  <c r="B285" i="5"/>
  <c r="S285" i="5" s="1"/>
  <c r="C284" i="5"/>
  <c r="V284" i="5" s="1"/>
  <c r="B284" i="5"/>
  <c r="F513" i="5" l="1"/>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c r="B59" i="6"/>
  <c r="G59" i="6" s="1"/>
  <c r="B58" i="6"/>
  <c r="G58" i="6" s="1"/>
  <c r="B56" i="6"/>
  <c r="G56" i="6" s="1"/>
  <c r="B55" i="6"/>
  <c r="G55" i="6"/>
  <c r="B54" i="6"/>
  <c r="G54" i="6" s="1"/>
  <c r="B53" i="6"/>
  <c r="G53" i="6" s="1"/>
  <c r="B50" i="6"/>
  <c r="G50" i="6" s="1"/>
  <c r="H14" i="6"/>
  <c r="H61" i="4"/>
  <c r="B86" i="4"/>
  <c r="B23" i="6" l="1"/>
  <c r="B28" i="6" s="1"/>
  <c r="B43" i="6"/>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F20" i="6"/>
  <c r="F22" i="6"/>
  <c r="G22" i="6"/>
  <c r="G18" i="6"/>
  <c r="H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C4" i="6" s="1"/>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C12" i="6" l="1"/>
  <c r="B11" i="5"/>
  <c r="B14" i="5"/>
  <c r="B7" i="5"/>
  <c r="B9" i="5"/>
  <c r="C7" i="5"/>
  <c r="C9" i="5"/>
  <c r="B6" i="5"/>
  <c r="B10" i="5"/>
  <c r="C5" i="5"/>
  <c r="C6" i="5"/>
  <c r="C8" i="5"/>
  <c r="C10" i="5"/>
  <c r="C11" i="5"/>
  <c r="C14" i="5"/>
  <c r="B5" i="5"/>
  <c r="B8" i="5"/>
  <c r="G23" i="6"/>
  <c r="H23" i="6" s="1"/>
  <c r="D23" i="6" s="1"/>
  <c r="B48" i="6"/>
  <c r="B38" i="6"/>
  <c r="B33" i="6"/>
  <c r="C13" i="6"/>
  <c r="C7" i="6"/>
  <c r="C11" i="6"/>
  <c r="C10" i="6"/>
  <c r="C8" i="6"/>
  <c r="C5" i="6"/>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C55" i="5"/>
  <c r="B52" i="5"/>
  <c r="B50" i="5"/>
  <c r="B48" i="5"/>
  <c r="B45" i="5"/>
  <c r="C44" i="5"/>
  <c r="B43" i="5"/>
  <c r="C42" i="5"/>
  <c r="B41" i="5"/>
  <c r="C40"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C60" i="5"/>
  <c r="B57" i="5"/>
  <c r="C52" i="5"/>
  <c r="B49" i="5"/>
  <c r="B44" i="5"/>
  <c r="B39" i="5"/>
  <c r="C38" i="5"/>
  <c r="C31" i="5"/>
  <c r="B28" i="5"/>
  <c r="B26" i="5"/>
  <c r="B24" i="5"/>
  <c r="B21" i="5"/>
  <c r="C20" i="5"/>
  <c r="B19" i="5"/>
  <c r="C18" i="5"/>
  <c r="B17" i="5"/>
  <c r="C16" i="5"/>
  <c r="C13" i="5"/>
  <c r="C22" i="5"/>
  <c r="C15" i="5"/>
  <c r="B104" i="5"/>
  <c r="B101" i="5"/>
  <c r="C89" i="5"/>
  <c r="B88" i="5"/>
  <c r="B85" i="5"/>
  <c r="B74" i="5"/>
  <c r="B69" i="5"/>
  <c r="C68" i="5"/>
  <c r="C66" i="5"/>
  <c r="C61" i="5"/>
  <c r="B60" i="5"/>
  <c r="C58" i="5"/>
  <c r="C54" i="5"/>
  <c r="C53" i="5"/>
  <c r="C50" i="5"/>
  <c r="C46" i="5"/>
  <c r="C45" i="5"/>
  <c r="B42" i="5"/>
  <c r="B38" i="5"/>
  <c r="C37" i="5"/>
  <c r="C35" i="5"/>
  <c r="C33" i="5"/>
  <c r="B31" i="5"/>
  <c r="C30" i="5"/>
  <c r="C23" i="5"/>
  <c r="B20" i="5"/>
  <c r="B18" i="5"/>
  <c r="B16" i="5"/>
  <c r="B13" i="5"/>
  <c r="C12" i="5"/>
  <c r="B106" i="5"/>
  <c r="C100" i="5"/>
  <c r="C94" i="5"/>
  <c r="B83" i="5"/>
  <c r="B82" i="5"/>
  <c r="C80" i="5"/>
  <c r="C77" i="5"/>
  <c r="C73" i="5"/>
  <c r="B71" i="5"/>
  <c r="C70" i="5"/>
  <c r="B66" i="5"/>
  <c r="C64" i="5"/>
  <c r="B62" i="5"/>
  <c r="B61" i="5"/>
  <c r="C59" i="5"/>
  <c r="B58" i="5"/>
  <c r="C56" i="5"/>
  <c r="B54" i="5"/>
  <c r="B53" i="5"/>
  <c r="C51" i="5"/>
  <c r="C48" i="5"/>
  <c r="C47" i="5"/>
  <c r="B46" i="5"/>
  <c r="C43" i="5"/>
  <c r="B40" i="5"/>
  <c r="B37" i="5"/>
  <c r="C36" i="5"/>
  <c r="B35" i="5"/>
  <c r="C34" i="5"/>
  <c r="B33" i="5"/>
  <c r="C32" i="5"/>
  <c r="B30" i="5"/>
  <c r="C29" i="5"/>
  <c r="C27" i="5"/>
  <c r="C25" i="5"/>
  <c r="B23" i="5"/>
  <c r="B12" i="5"/>
  <c r="C105" i="5"/>
  <c r="C86" i="5"/>
  <c r="C84" i="5"/>
  <c r="C78" i="5"/>
  <c r="B76" i="5"/>
  <c r="B72" i="5"/>
  <c r="B67" i="5"/>
  <c r="B64" i="5"/>
  <c r="C63" i="5"/>
  <c r="B59" i="5"/>
  <c r="C57" i="5"/>
  <c r="B56" i="5"/>
  <c r="B55" i="5"/>
  <c r="B51" i="5"/>
  <c r="C49" i="5"/>
  <c r="B47" i="5"/>
  <c r="C41" i="5"/>
  <c r="C39" i="5"/>
  <c r="B36" i="5"/>
  <c r="B34" i="5"/>
  <c r="B32" i="5"/>
  <c r="B29" i="5"/>
  <c r="C28" i="5"/>
  <c r="B27" i="5"/>
  <c r="C26" i="5"/>
  <c r="B25" i="5"/>
  <c r="C24" i="5"/>
  <c r="B22" i="5"/>
  <c r="C21" i="5"/>
  <c r="C19" i="5"/>
  <c r="C17" i="5"/>
  <c r="B15"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F25" i="6"/>
  <c r="B40" i="6"/>
  <c r="G40" i="6" s="1"/>
  <c r="F26" i="6"/>
  <c r="F36" i="6" s="1"/>
  <c r="B30" i="6"/>
  <c r="G30" i="6" s="1"/>
  <c r="F41" i="6"/>
  <c r="B41" i="6"/>
  <c r="G41" i="6" s="1"/>
  <c r="H41" i="6" s="1"/>
  <c r="F63" i="6"/>
  <c r="G21" i="6"/>
  <c r="H21" i="6" s="1"/>
  <c r="B26" i="6"/>
  <c r="G26" i="6" s="1"/>
  <c r="H26" i="6" s="1"/>
  <c r="C26" i="6" s="1"/>
  <c r="B36" i="6"/>
  <c r="B46" i="6"/>
  <c r="G46" i="6" s="1"/>
  <c r="G31" i="6"/>
  <c r="H22" i="6"/>
  <c r="D22" i="6" s="1"/>
  <c r="G47" i="6"/>
  <c r="G42" i="6"/>
  <c r="K65" i="6"/>
  <c r="G27" i="6"/>
  <c r="G32" i="6"/>
  <c r="G43" i="6"/>
  <c r="G38" i="6"/>
  <c r="G35" i="6"/>
  <c r="G28" i="6"/>
  <c r="G33" i="6"/>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H42" i="6" s="1"/>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H36" i="6" l="1"/>
  <c r="C36" i="6" s="1"/>
  <c r="H25" i="6"/>
  <c r="C25" i="6" s="1"/>
  <c r="V57" i="5"/>
  <c r="R57" i="5" s="1"/>
  <c r="V541" i="5"/>
  <c r="F541" i="5" s="1"/>
  <c r="V73" i="5"/>
  <c r="R73" i="5" s="1"/>
  <c r="V33" i="5"/>
  <c r="G33" i="5" s="1"/>
  <c r="V17" i="5"/>
  <c r="F17" i="5" s="1"/>
  <c r="V468" i="5"/>
  <c r="E468" i="5" s="1"/>
  <c r="AB8" i="5"/>
  <c r="V28" i="5"/>
  <c r="AB67" i="5"/>
  <c r="AB23" i="5"/>
  <c r="AB35" i="5"/>
  <c r="V51" i="5"/>
  <c r="G51" i="5" s="1"/>
  <c r="AB58" i="5"/>
  <c r="V64" i="5"/>
  <c r="AB83" i="5"/>
  <c r="AB10" i="5"/>
  <c r="V12" i="5"/>
  <c r="G12" i="5" s="1"/>
  <c r="AB20" i="5"/>
  <c r="AB42" i="5"/>
  <c r="V61" i="5"/>
  <c r="G61" i="5" s="1"/>
  <c r="AB101" i="5"/>
  <c r="V22" i="5"/>
  <c r="V6" i="5"/>
  <c r="G6" i="5" s="1"/>
  <c r="V13" i="5"/>
  <c r="V18" i="5"/>
  <c r="G18" i="5" s="1"/>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G14" i="5" s="1"/>
  <c r="V21" i="5"/>
  <c r="G21" i="5" s="1"/>
  <c r="V26" i="5"/>
  <c r="G26" i="5" s="1"/>
  <c r="AB32" i="5"/>
  <c r="V41" i="5"/>
  <c r="AB55" i="5"/>
  <c r="V63" i="5"/>
  <c r="G63" i="5" s="1"/>
  <c r="AB76" i="5"/>
  <c r="V105" i="5"/>
  <c r="V27" i="5"/>
  <c r="G27" i="5" s="1"/>
  <c r="AB33" i="5"/>
  <c r="AB37" i="5"/>
  <c r="V47" i="5"/>
  <c r="G47" i="5" s="1"/>
  <c r="AB54" i="5"/>
  <c r="AB61" i="5"/>
  <c r="V70" i="5"/>
  <c r="G70" i="5" s="1"/>
  <c r="V80" i="5"/>
  <c r="G80" i="5" s="1"/>
  <c r="V100" i="5"/>
  <c r="AB9" i="5"/>
  <c r="AB16" i="5"/>
  <c r="V30" i="5"/>
  <c r="G30" i="5" s="1"/>
  <c r="V37" i="5"/>
  <c r="G37" i="5" s="1"/>
  <c r="V46" i="5"/>
  <c r="G46" i="5" s="1"/>
  <c r="V58" i="5"/>
  <c r="G58" i="5" s="1"/>
  <c r="V68" i="5"/>
  <c r="G68" i="5" s="1"/>
  <c r="AB88" i="5"/>
  <c r="AB5" i="5"/>
  <c r="V8" i="5"/>
  <c r="G8" i="5" s="1"/>
  <c r="V9" i="5"/>
  <c r="V16" i="5"/>
  <c r="G16" i="5" s="1"/>
  <c r="V20" i="5"/>
  <c r="G20" i="5" s="1"/>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G40" i="5" s="1"/>
  <c r="V44" i="5"/>
  <c r="G44" i="5" s="1"/>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78" i="5" s="1"/>
  <c r="AB12" i="5"/>
  <c r="V29" i="5"/>
  <c r="G29" i="5" s="1"/>
  <c r="V34" i="5"/>
  <c r="G34" i="5" s="1"/>
  <c r="AB40" i="5"/>
  <c r="V48" i="5"/>
  <c r="V56" i="5"/>
  <c r="G56" i="5" s="1"/>
  <c r="AB62" i="5"/>
  <c r="AB71" i="5"/>
  <c r="AB82" i="5"/>
  <c r="AB106" i="5"/>
  <c r="AB11" i="5"/>
  <c r="AB18" i="5"/>
  <c r="AB31" i="5"/>
  <c r="AB38" i="5"/>
  <c r="V50" i="5"/>
  <c r="AB60" i="5"/>
  <c r="AB69" i="5"/>
  <c r="V89" i="5"/>
  <c r="V15" i="5"/>
  <c r="G15" i="5" s="1"/>
  <c r="V10" i="5"/>
  <c r="G10" i="5" s="1"/>
  <c r="V11" i="5"/>
  <c r="G11" i="5" s="1"/>
  <c r="AB17" i="5"/>
  <c r="AB21"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G24" i="5" s="1"/>
  <c r="AB36" i="5"/>
  <c r="V49" i="5"/>
  <c r="G49" i="5" s="1"/>
  <c r="V84" i="5"/>
  <c r="AB30" i="5"/>
  <c r="V43" i="5"/>
  <c r="G43" i="5" s="1"/>
  <c r="V53" i="5"/>
  <c r="G53" i="5" s="1"/>
  <c r="AB74" i="5"/>
  <c r="V38" i="5"/>
  <c r="G38" i="5" s="1"/>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G42" i="5" s="1"/>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7" i="5"/>
  <c r="G7" i="5" s="1"/>
  <c r="V19" i="5"/>
  <c r="AB25" i="5"/>
  <c r="AB29" i="5"/>
  <c r="V39" i="5"/>
  <c r="AB51" i="5"/>
  <c r="AB59" i="5"/>
  <c r="AB72" i="5"/>
  <c r="V86" i="5"/>
  <c r="V25" i="5"/>
  <c r="V32" i="5"/>
  <c r="G32" i="5" s="1"/>
  <c r="V36" i="5"/>
  <c r="G36" i="5" s="1"/>
  <c r="AB46" i="5"/>
  <c r="AB53" i="5"/>
  <c r="V59" i="5"/>
  <c r="G59" i="5" s="1"/>
  <c r="AB66" i="5"/>
  <c r="V77" i="5"/>
  <c r="G77" i="5" s="1"/>
  <c r="V94" i="5"/>
  <c r="G94" i="5" s="1"/>
  <c r="V5" i="5"/>
  <c r="G5" i="5" s="1"/>
  <c r="AB13" i="5"/>
  <c r="V23" i="5"/>
  <c r="G23" i="5" s="1"/>
  <c r="V35" i="5"/>
  <c r="V45" i="5"/>
  <c r="G45" i="5" s="1"/>
  <c r="V54" i="5"/>
  <c r="G54" i="5" s="1"/>
  <c r="V66" i="5"/>
  <c r="G66" i="5" s="1"/>
  <c r="AB85" i="5"/>
  <c r="AB104" i="5"/>
  <c r="AB6" i="5"/>
  <c r="AB7"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F45" i="6"/>
  <c r="H45" i="6" s="1"/>
  <c r="F62" i="6"/>
  <c r="B2" i="6" s="1"/>
  <c r="F40" i="6"/>
  <c r="H40" i="6" s="1"/>
  <c r="D40" i="6" s="1"/>
  <c r="F35" i="6"/>
  <c r="H35" i="6" s="1"/>
  <c r="F30" i="6"/>
  <c r="H30" i="6" s="1"/>
  <c r="F46" i="6"/>
  <c r="H46" i="6" s="1"/>
  <c r="F31" i="6"/>
  <c r="H31" i="6" s="1"/>
  <c r="D31" i="6" s="1"/>
  <c r="C20" i="6"/>
  <c r="D21" i="6"/>
  <c r="C21" i="6"/>
  <c r="K63" i="6"/>
  <c r="D26" i="6"/>
  <c r="H32" i="6"/>
  <c r="C32" i="6" s="1"/>
  <c r="C22" i="6"/>
  <c r="C41" i="6"/>
  <c r="D41" i="6"/>
  <c r="F38" i="6"/>
  <c r="H38" i="6" s="1"/>
  <c r="F43" i="6"/>
  <c r="H43" i="6" s="1"/>
  <c r="H28" i="6"/>
  <c r="F65" i="6"/>
  <c r="F33" i="6"/>
  <c r="H33" i="6" s="1"/>
  <c r="F48" i="6"/>
  <c r="H48" i="6" s="1"/>
  <c r="D36" i="6"/>
  <c r="F66" i="6"/>
  <c r="C66" i="6" s="1"/>
  <c r="C42" i="6"/>
  <c r="D42" i="6"/>
  <c r="D3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6" i="5"/>
  <c r="T466" i="5"/>
  <c r="D25" i="6" l="1"/>
  <c r="D35" i="6"/>
  <c r="C35" i="6"/>
  <c r="G57" i="5"/>
  <c r="I57" i="5"/>
  <c r="E57" i="5"/>
  <c r="I541" i="5"/>
  <c r="G541" i="5"/>
  <c r="E541" i="5"/>
  <c r="H541" i="5"/>
  <c r="J57" i="5"/>
  <c r="R541" i="5"/>
  <c r="F57" i="5"/>
  <c r="H57" i="5"/>
  <c r="G73" i="5"/>
  <c r="F468" i="5"/>
  <c r="J541" i="5"/>
  <c r="F73" i="5"/>
  <c r="H73" i="5"/>
  <c r="J73" i="5"/>
  <c r="I73" i="5"/>
  <c r="J33" i="5"/>
  <c r="R33" i="5"/>
  <c r="I17" i="5"/>
  <c r="R17" i="5"/>
  <c r="H17" i="5"/>
  <c r="F33" i="5"/>
  <c r="I33" i="5"/>
  <c r="E33" i="5"/>
  <c r="E73" i="5"/>
  <c r="J17" i="5"/>
  <c r="J468" i="5"/>
  <c r="H468" i="5"/>
  <c r="R468" i="5"/>
  <c r="G468" i="5"/>
  <c r="I468" i="5"/>
  <c r="E17" i="5"/>
  <c r="G17" i="5"/>
  <c r="H33"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I35" i="5"/>
  <c r="J35" i="5"/>
  <c r="F35" i="5"/>
  <c r="E35" i="5"/>
  <c r="R35" i="5"/>
  <c r="H35" i="5"/>
  <c r="E86" i="5"/>
  <c r="H86" i="5"/>
  <c r="R86" i="5"/>
  <c r="I86" i="5"/>
  <c r="J86" i="5"/>
  <c r="F86" i="5"/>
  <c r="I39" i="5"/>
  <c r="E39" i="5"/>
  <c r="J39" i="5"/>
  <c r="F39" i="5"/>
  <c r="R39" i="5"/>
  <c r="H39" i="5"/>
  <c r="I19" i="5"/>
  <c r="R19" i="5"/>
  <c r="E19" i="5"/>
  <c r="J19" i="5"/>
  <c r="H19" i="5"/>
  <c r="F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77" i="5"/>
  <c r="I77" i="5"/>
  <c r="H77" i="5"/>
  <c r="E77" i="5"/>
  <c r="J77" i="5"/>
  <c r="G25" i="5"/>
  <c r="I25" i="5"/>
  <c r="F25" i="5"/>
  <c r="H25" i="5"/>
  <c r="J25" i="5"/>
  <c r="R25" i="5"/>
  <c r="E25" i="5"/>
  <c r="H255" i="5"/>
  <c r="R255" i="5"/>
  <c r="F255" i="5"/>
  <c r="J255" i="5"/>
  <c r="E255" i="5"/>
  <c r="I255" i="5"/>
  <c r="H52" i="5"/>
  <c r="J52" i="5"/>
  <c r="I52" i="5"/>
  <c r="F52" i="5"/>
  <c r="R52" i="5"/>
  <c r="E52" i="5"/>
  <c r="G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X541"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95" i="5"/>
  <c r="F95" i="5"/>
  <c r="E95" i="5"/>
  <c r="I95" i="5"/>
  <c r="J95" i="5"/>
  <c r="G35" i="5"/>
  <c r="E23" i="5"/>
  <c r="I23" i="5"/>
  <c r="H23" i="5"/>
  <c r="R23" i="5"/>
  <c r="F23" i="5"/>
  <c r="J23" i="5"/>
  <c r="E94" i="5"/>
  <c r="H94" i="5"/>
  <c r="R94" i="5"/>
  <c r="I94" i="5"/>
  <c r="J94" i="5"/>
  <c r="F94" i="5"/>
  <c r="G86" i="5"/>
  <c r="G39" i="5"/>
  <c r="G19" i="5"/>
  <c r="I7" i="5"/>
  <c r="E7" i="5"/>
  <c r="J7" i="5"/>
  <c r="F7" i="5"/>
  <c r="R7" i="5"/>
  <c r="H7"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X33"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E5" i="5"/>
  <c r="R5" i="5"/>
  <c r="I5" i="5"/>
  <c r="J5" i="5"/>
  <c r="H5" i="5"/>
  <c r="F5" i="5"/>
  <c r="H227" i="5"/>
  <c r="I227" i="5"/>
  <c r="R227" i="5"/>
  <c r="F227" i="5"/>
  <c r="J227" i="5"/>
  <c r="E227" i="5"/>
  <c r="R280" i="5"/>
  <c r="H280" i="5"/>
  <c r="F280" i="5"/>
  <c r="J280" i="5"/>
  <c r="I280" i="5"/>
  <c r="E280" i="5"/>
  <c r="H132" i="5"/>
  <c r="E132" i="5"/>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H54" i="5"/>
  <c r="J54" i="5"/>
  <c r="E54" i="5"/>
  <c r="F54" i="5"/>
  <c r="R54" i="5"/>
  <c r="I54" i="5"/>
  <c r="H32" i="5"/>
  <c r="R32" i="5"/>
  <c r="F32" i="5"/>
  <c r="J32" i="5"/>
  <c r="E32" i="5"/>
  <c r="I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H66" i="5"/>
  <c r="J66" i="5"/>
  <c r="E66" i="5"/>
  <c r="F66" i="5"/>
  <c r="R66" i="5"/>
  <c r="I66" i="5"/>
  <c r="E45" i="5"/>
  <c r="F45" i="5"/>
  <c r="H45" i="5"/>
  <c r="I45" i="5"/>
  <c r="J45" i="5"/>
  <c r="R45" i="5"/>
  <c r="I59" i="5"/>
  <c r="E59" i="5"/>
  <c r="H59" i="5"/>
  <c r="R59" i="5"/>
  <c r="F59" i="5"/>
  <c r="J59" i="5"/>
  <c r="H36" i="5"/>
  <c r="R36" i="5"/>
  <c r="F36" i="5"/>
  <c r="J36" i="5"/>
  <c r="E36" i="5"/>
  <c r="I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E53" i="5"/>
  <c r="R53" i="5"/>
  <c r="J53" i="5"/>
  <c r="H53" i="5"/>
  <c r="I53" i="5"/>
  <c r="F53" i="5"/>
  <c r="I43" i="5"/>
  <c r="H43" i="5"/>
  <c r="R43" i="5"/>
  <c r="F43" i="5"/>
  <c r="E43" i="5"/>
  <c r="J43" i="5"/>
  <c r="I49" i="5"/>
  <c r="J49" i="5"/>
  <c r="E49" i="5"/>
  <c r="H49" i="5"/>
  <c r="R49" i="5"/>
  <c r="F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H50" i="5"/>
  <c r="R50" i="5"/>
  <c r="E50" i="5"/>
  <c r="J50" i="5"/>
  <c r="I50" i="5"/>
  <c r="F50" i="5"/>
  <c r="H48" i="5"/>
  <c r="F48" i="5"/>
  <c r="R48" i="5"/>
  <c r="E48" i="5"/>
  <c r="J48" i="5"/>
  <c r="I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H16" i="5"/>
  <c r="I16" i="5"/>
  <c r="F16" i="5"/>
  <c r="R16" i="5"/>
  <c r="J16" i="5"/>
  <c r="E16"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E13" i="5"/>
  <c r="H13" i="5"/>
  <c r="R13" i="5"/>
  <c r="I13" i="5"/>
  <c r="F13" i="5"/>
  <c r="J13" i="5"/>
  <c r="H22" i="5"/>
  <c r="R22" i="5"/>
  <c r="F22" i="5"/>
  <c r="I22" i="5"/>
  <c r="J22" i="5"/>
  <c r="E22" i="5"/>
  <c r="H64" i="5"/>
  <c r="J64" i="5"/>
  <c r="E64" i="5"/>
  <c r="F64" i="5"/>
  <c r="R64" i="5"/>
  <c r="I64" i="5"/>
  <c r="H28" i="5"/>
  <c r="R28" i="5"/>
  <c r="F28" i="5"/>
  <c r="J28" i="5"/>
  <c r="E28" i="5"/>
  <c r="I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H62" i="5"/>
  <c r="I62" i="5"/>
  <c r="F62" i="5"/>
  <c r="R62" i="5"/>
  <c r="E62" i="5"/>
  <c r="J62" i="5"/>
  <c r="I123" i="5"/>
  <c r="R123" i="5"/>
  <c r="J123" i="5"/>
  <c r="E123" i="5"/>
  <c r="H123" i="5"/>
  <c r="F123" i="5"/>
  <c r="H24" i="5"/>
  <c r="J24" i="5"/>
  <c r="R24" i="5"/>
  <c r="F24" i="5"/>
  <c r="E24" i="5"/>
  <c r="I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I55" i="5"/>
  <c r="E55" i="5"/>
  <c r="H55" i="5"/>
  <c r="R55" i="5"/>
  <c r="F55" i="5"/>
  <c r="J55" i="5"/>
  <c r="H148" i="5"/>
  <c r="E148" i="5"/>
  <c r="R148" i="5"/>
  <c r="F148" i="5"/>
  <c r="J148" i="5"/>
  <c r="I148" i="5"/>
  <c r="R156" i="5"/>
  <c r="H156" i="5"/>
  <c r="E156" i="5"/>
  <c r="F156" i="5"/>
  <c r="J156" i="5"/>
  <c r="I156" i="5"/>
  <c r="R127" i="5"/>
  <c r="H127" i="5"/>
  <c r="E127" i="5"/>
  <c r="F127" i="5"/>
  <c r="I127" i="5"/>
  <c r="J127" i="5"/>
  <c r="R92" i="5"/>
  <c r="H92" i="5"/>
  <c r="E92" i="5"/>
  <c r="F92" i="5"/>
  <c r="J92" i="5"/>
  <c r="I92" i="5"/>
  <c r="I31" i="5"/>
  <c r="E31" i="5"/>
  <c r="F31" i="5"/>
  <c r="H31" i="5"/>
  <c r="J31" i="5"/>
  <c r="R31" i="5"/>
  <c r="I11" i="5"/>
  <c r="R11" i="5"/>
  <c r="E11" i="5"/>
  <c r="J11" i="5"/>
  <c r="H11" i="5"/>
  <c r="F11" i="5"/>
  <c r="H56" i="5"/>
  <c r="R56" i="5"/>
  <c r="F56" i="5"/>
  <c r="E56" i="5"/>
  <c r="J56" i="5"/>
  <c r="I56" i="5"/>
  <c r="H34" i="5"/>
  <c r="R34" i="5"/>
  <c r="F34" i="5"/>
  <c r="J34" i="5"/>
  <c r="E34" i="5"/>
  <c r="I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H60" i="5"/>
  <c r="R60" i="5"/>
  <c r="F60" i="5"/>
  <c r="J60" i="5"/>
  <c r="I60" i="5"/>
  <c r="E60" i="5"/>
  <c r="G9" i="5"/>
  <c r="I9" i="5"/>
  <c r="H9" i="5"/>
  <c r="E9" i="5"/>
  <c r="R9" i="5"/>
  <c r="F9" i="5"/>
  <c r="J9" i="5"/>
  <c r="H58" i="5"/>
  <c r="R58" i="5"/>
  <c r="F58" i="5"/>
  <c r="E58" i="5"/>
  <c r="J58" i="5"/>
  <c r="I58" i="5"/>
  <c r="E37" i="5"/>
  <c r="H37" i="5"/>
  <c r="I37" i="5"/>
  <c r="R37" i="5"/>
  <c r="F37" i="5"/>
  <c r="J37" i="5"/>
  <c r="H70" i="5"/>
  <c r="J70" i="5"/>
  <c r="E70" i="5"/>
  <c r="I70" i="5"/>
  <c r="F70" i="5"/>
  <c r="R70" i="5"/>
  <c r="E21" i="5"/>
  <c r="F21" i="5"/>
  <c r="H21" i="5"/>
  <c r="J21" i="5"/>
  <c r="R21" i="5"/>
  <c r="I21"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75" i="5"/>
  <c r="E75" i="5"/>
  <c r="F75" i="5"/>
  <c r="I75" i="5"/>
  <c r="J75" i="5"/>
  <c r="E61" i="5"/>
  <c r="H61" i="5"/>
  <c r="R61" i="5"/>
  <c r="F61" i="5"/>
  <c r="I61" i="5"/>
  <c r="J61" i="5"/>
  <c r="H12" i="5"/>
  <c r="J12" i="5"/>
  <c r="E12" i="5"/>
  <c r="I12" i="5"/>
  <c r="R12" i="5"/>
  <c r="F12"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E15" i="5"/>
  <c r="I15" i="5"/>
  <c r="R15" i="5"/>
  <c r="J15" i="5"/>
  <c r="H15" i="5"/>
  <c r="F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H40" i="5"/>
  <c r="I40" i="5"/>
  <c r="F40" i="5"/>
  <c r="R40" i="5"/>
  <c r="E40" i="5"/>
  <c r="J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G60" i="5"/>
  <c r="H20" i="5"/>
  <c r="I20" i="5"/>
  <c r="R20" i="5"/>
  <c r="J20" i="5"/>
  <c r="E20" i="5"/>
  <c r="F20" i="5"/>
  <c r="H8" i="5"/>
  <c r="J8" i="5"/>
  <c r="E8" i="5"/>
  <c r="I8" i="5"/>
  <c r="R8" i="5"/>
  <c r="F8" i="5"/>
  <c r="G100" i="5"/>
  <c r="E47" i="5"/>
  <c r="I47" i="5"/>
  <c r="R47" i="5"/>
  <c r="J47" i="5"/>
  <c r="H47" i="5"/>
  <c r="F47" i="5"/>
  <c r="I27" i="5"/>
  <c r="E27" i="5"/>
  <c r="F27" i="5"/>
  <c r="H27" i="5"/>
  <c r="J27" i="5"/>
  <c r="R27" i="5"/>
  <c r="I63" i="5"/>
  <c r="E63" i="5"/>
  <c r="H63" i="5"/>
  <c r="J63" i="5"/>
  <c r="F63" i="5"/>
  <c r="R63" i="5"/>
  <c r="G41" i="5"/>
  <c r="I41" i="5"/>
  <c r="F41" i="5"/>
  <c r="E41" i="5"/>
  <c r="H41" i="5"/>
  <c r="J41"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H18" i="5"/>
  <c r="I18" i="5"/>
  <c r="R18" i="5"/>
  <c r="J18" i="5"/>
  <c r="E18" i="5"/>
  <c r="F18" i="5"/>
  <c r="H6" i="5"/>
  <c r="I6" i="5"/>
  <c r="R6" i="5"/>
  <c r="F6" i="5"/>
  <c r="J6" i="5"/>
  <c r="E6" i="5"/>
  <c r="I51" i="5"/>
  <c r="E51" i="5"/>
  <c r="H51" i="5"/>
  <c r="R51" i="5"/>
  <c r="F51" i="5"/>
  <c r="J51" i="5"/>
  <c r="H42" i="5"/>
  <c r="I42" i="5"/>
  <c r="R42" i="5"/>
  <c r="E42" i="5"/>
  <c r="J42" i="5"/>
  <c r="F42"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H38" i="5"/>
  <c r="I38" i="5"/>
  <c r="R38" i="5"/>
  <c r="F38" i="5"/>
  <c r="J38" i="5"/>
  <c r="E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H10" i="5"/>
  <c r="J10" i="5"/>
  <c r="E10" i="5"/>
  <c r="I10" i="5"/>
  <c r="R10" i="5"/>
  <c r="F10" i="5"/>
  <c r="G89" i="5"/>
  <c r="G50" i="5"/>
  <c r="G48" i="5"/>
  <c r="E29" i="5"/>
  <c r="J29" i="5"/>
  <c r="F29" i="5"/>
  <c r="R29" i="5"/>
  <c r="I29" i="5"/>
  <c r="H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G65" i="5"/>
  <c r="I65" i="5"/>
  <c r="H65" i="5"/>
  <c r="R65" i="5"/>
  <c r="F65" i="5"/>
  <c r="E65" i="5"/>
  <c r="J65" i="5"/>
  <c r="H44" i="5"/>
  <c r="I44" i="5"/>
  <c r="J44" i="5"/>
  <c r="F44" i="5"/>
  <c r="R44" i="5"/>
  <c r="E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H46" i="5"/>
  <c r="R46" i="5"/>
  <c r="F46" i="5"/>
  <c r="E46" i="5"/>
  <c r="J46" i="5"/>
  <c r="I46" i="5"/>
  <c r="H30" i="5"/>
  <c r="J30" i="5"/>
  <c r="E30" i="5"/>
  <c r="I30" i="5"/>
  <c r="R30" i="5"/>
  <c r="F30" i="5"/>
  <c r="R80" i="5"/>
  <c r="E80" i="5"/>
  <c r="H80" i="5"/>
  <c r="J80" i="5"/>
  <c r="I80" i="5"/>
  <c r="F80" i="5"/>
  <c r="G105" i="5"/>
  <c r="H26" i="5"/>
  <c r="R26" i="5"/>
  <c r="F26" i="5"/>
  <c r="J26" i="5"/>
  <c r="E26" i="5"/>
  <c r="I26" i="5"/>
  <c r="H14" i="5"/>
  <c r="R14" i="5"/>
  <c r="F14" i="5"/>
  <c r="J14" i="5"/>
  <c r="E14" i="5"/>
  <c r="I14"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G13" i="5"/>
  <c r="G22" i="5"/>
  <c r="G28" i="5"/>
  <c r="C30" i="6"/>
  <c r="D30" i="6"/>
  <c r="C45" i="6"/>
  <c r="D45" i="6"/>
  <c r="C40" i="6"/>
  <c r="C46" i="6"/>
  <c r="D46" i="6"/>
  <c r="C31" i="6"/>
  <c r="C28" i="6"/>
  <c r="D28" i="6"/>
  <c r="C48" i="6"/>
  <c r="D48" i="6"/>
  <c r="C43" i="6"/>
  <c r="D43" i="6"/>
  <c r="D33" i="6"/>
  <c r="C33" i="6"/>
  <c r="C38" i="6"/>
  <c r="D38" i="6"/>
  <c r="G64" i="6"/>
  <c r="G65" i="6"/>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74" i="5"/>
  <c r="T445" i="5"/>
  <c r="T397" i="5"/>
  <c r="T400" i="5"/>
  <c r="T420" i="5"/>
  <c r="T414" i="5"/>
  <c r="T362" i="5"/>
  <c r="T396" i="5"/>
  <c r="T363" i="5"/>
  <c r="T399" i="5"/>
  <c r="T401" i="5"/>
  <c r="T497" i="5"/>
  <c r="T361" i="5"/>
  <c r="T360"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468" i="5"/>
  <c r="T350" i="5"/>
  <c r="T204" i="5"/>
  <c r="T149" i="5"/>
  <c r="T457" i="5"/>
  <c r="T220" i="5"/>
  <c r="T173" i="5"/>
  <c r="T524" i="5"/>
  <c r="T536" i="5"/>
  <c r="T450" i="5"/>
  <c r="T471" i="5"/>
  <c r="T404" i="5"/>
  <c r="T272" i="5"/>
  <c r="T574" i="5"/>
  <c r="T412" i="5"/>
  <c r="T562" i="5"/>
  <c r="T147" i="5"/>
  <c r="T215" i="5"/>
  <c r="T283" i="5"/>
  <c r="T577" i="5"/>
  <c r="T222" i="5"/>
  <c r="T475" i="5"/>
  <c r="T548" i="5"/>
  <c r="T539" i="5"/>
  <c r="T463" i="5"/>
  <c r="T481" i="5"/>
  <c r="T451" i="5"/>
  <c r="T382" i="5"/>
  <c r="T209" i="5"/>
  <c r="T517" i="5"/>
  <c r="T207" i="5"/>
  <c r="T174" i="5"/>
  <c r="T528" i="5"/>
  <c r="T415" i="5"/>
  <c r="T349" i="5"/>
  <c r="T192" i="5"/>
  <c r="T260" i="5"/>
  <c r="T190" i="5"/>
  <c r="T532" i="5"/>
  <c r="T516" i="5"/>
  <c r="T470" i="5"/>
  <c r="T448" i="5"/>
  <c r="T354" i="5"/>
  <c r="T223" i="5"/>
  <c r="T374" i="5"/>
  <c r="T515" i="5"/>
  <c r="T206" i="5"/>
  <c r="T491" i="5"/>
  <c r="T535" i="5"/>
  <c r="T472" i="5"/>
  <c r="T357" i="5"/>
  <c r="T247" i="5"/>
  <c r="T168" i="5"/>
  <c r="T148" i="5"/>
  <c r="T403" i="5"/>
  <c r="T538" i="5"/>
  <c r="T278" i="5"/>
  <c r="T189" i="5"/>
  <c r="T244" i="5"/>
  <c r="T208" i="5"/>
  <c r="T182" i="5"/>
  <c r="T153" i="5"/>
  <c r="T179" i="5"/>
  <c r="T162" i="5"/>
  <c r="T145" i="5"/>
  <c r="T542" i="5"/>
  <c r="T509" i="5"/>
  <c r="T579" i="5"/>
  <c r="T351" i="5"/>
  <c r="T143" i="5"/>
  <c r="T191" i="5"/>
  <c r="T163" i="5"/>
  <c r="T537" i="5"/>
  <c r="T489" i="5"/>
  <c r="T409" i="5"/>
  <c r="T380" i="5"/>
  <c r="T230" i="5"/>
  <c r="T534" i="5"/>
  <c r="T464" i="5"/>
  <c r="T378" i="5"/>
  <c r="T352" i="5"/>
  <c r="T365" i="5"/>
  <c r="T253" i="5"/>
  <c r="T197" i="5"/>
  <c r="T233" i="5"/>
  <c r="T571" i="5"/>
  <c r="T436" i="5"/>
  <c r="T413" i="5"/>
  <c r="T462" i="5"/>
  <c r="T376" i="5"/>
  <c r="T406" i="5"/>
  <c r="T447" i="5"/>
  <c r="T257" i="5"/>
  <c r="T248" i="5"/>
  <c r="T157" i="5"/>
  <c r="T565" i="5"/>
  <c r="T455" i="5"/>
  <c r="T270" i="5"/>
  <c r="T558" i="5"/>
  <c r="T442" i="5"/>
  <c r="T353" i="5"/>
  <c r="T194" i="5"/>
  <c r="T160" i="5"/>
  <c r="T161" i="5"/>
  <c r="T499" i="5"/>
  <c r="T381" i="5"/>
  <c r="T512" i="5"/>
  <c r="T458" i="5"/>
  <c r="T158" i="5"/>
  <c r="T552" i="5"/>
  <c r="T483" i="5"/>
  <c r="T423" i="5"/>
  <c r="T267" i="5"/>
  <c r="T180" i="5"/>
  <c r="T488" i="5"/>
  <c r="T561" i="5"/>
  <c r="T553" i="5"/>
  <c r="T556" i="5"/>
  <c r="T527" i="5"/>
  <c r="T545" i="5"/>
  <c r="T446" i="5"/>
  <c r="T276" i="5"/>
  <c r="T144" i="5"/>
  <c r="T511" i="5"/>
  <c r="T277" i="5"/>
  <c r="T480" i="5"/>
  <c r="T269" i="5"/>
  <c r="T185" i="5"/>
  <c r="T271" i="5"/>
  <c r="T437" i="5"/>
  <c r="T501" i="5"/>
  <c r="T371" i="5"/>
  <c r="T251" i="5"/>
  <c r="T263" i="5"/>
  <c r="T235" i="5"/>
  <c r="T188" i="5"/>
  <c r="T521" i="5"/>
  <c r="T367" i="5"/>
  <c r="T368" i="5"/>
  <c r="T203" i="5"/>
  <c r="T503" i="5"/>
  <c r="T238" i="5"/>
  <c r="T575" i="5"/>
  <c r="T395" i="5"/>
  <c r="T375" i="5"/>
  <c r="T225" i="5"/>
  <c r="T242" i="5"/>
  <c r="T152" i="5"/>
  <c r="T547" i="5"/>
  <c r="T560" i="5"/>
  <c r="T544" i="5"/>
  <c r="T444" i="5"/>
  <c r="T394" i="5"/>
  <c r="T217" i="5"/>
  <c r="T228" i="5"/>
  <c r="T176" i="5"/>
  <c r="T432" i="5"/>
  <c r="T485" i="5"/>
  <c r="T402" i="5"/>
  <c r="T356" i="5"/>
  <c r="T210" i="5"/>
  <c r="T258" i="5"/>
  <c r="T216" i="5"/>
  <c r="T165" i="5"/>
  <c r="T146" i="5"/>
  <c r="T449" i="5"/>
  <c r="T224" i="5"/>
  <c r="T201" i="5"/>
  <c r="T181" i="5"/>
  <c r="T493" i="5"/>
  <c r="T443" i="5"/>
  <c r="T478" i="5"/>
  <c r="T364" i="5"/>
  <c r="T275" i="5"/>
  <c r="T232" i="5"/>
  <c r="T164" i="5"/>
  <c r="T550" i="5"/>
  <c r="T546" i="5"/>
  <c r="T498" i="5"/>
  <c r="T549" i="5"/>
  <c r="T177" i="5"/>
  <c r="T529" i="5"/>
  <c r="T377" i="5"/>
  <c r="T384" i="5"/>
  <c r="T240" i="5"/>
  <c r="S541" i="5"/>
  <c r="T554" i="5"/>
  <c r="T585" i="5"/>
  <c r="T454" i="5"/>
  <c r="T439" i="5"/>
  <c r="T359" i="5"/>
  <c r="T250" i="5"/>
  <c r="T229" i="5"/>
  <c r="T495" i="5"/>
  <c r="T150" i="5"/>
  <c r="T227" i="5"/>
  <c r="T262" i="5"/>
  <c r="T564" i="5"/>
  <c r="T393" i="5"/>
  <c r="T424" i="5"/>
  <c r="T555" i="5"/>
  <c r="T175" i="5"/>
  <c r="T410" i="5"/>
  <c r="T573" i="5"/>
  <c r="T508" i="5"/>
  <c r="T531" i="5"/>
  <c r="T467" i="5"/>
  <c r="T389" i="5"/>
  <c r="T369" i="5"/>
  <c r="T198" i="5"/>
  <c r="T214" i="5"/>
  <c r="T259" i="5"/>
  <c r="T187" i="5"/>
  <c r="T584" i="5"/>
  <c r="T500" i="5"/>
  <c r="T434" i="5"/>
  <c r="T419" i="5"/>
  <c r="T422" i="5"/>
  <c r="T358" i="5"/>
  <c r="T151" i="5"/>
  <c r="T563" i="5"/>
  <c r="T460" i="5"/>
  <c r="T519" i="5"/>
  <c r="T256" i="5"/>
  <c r="T154" i="5"/>
  <c r="T526" i="5"/>
  <c r="T502" i="5"/>
  <c r="T510" i="5"/>
  <c r="T479" i="5"/>
  <c r="T372" i="5"/>
  <c r="T504" i="5"/>
  <c r="T438" i="5"/>
  <c r="T407" i="5"/>
  <c r="T264" i="5"/>
  <c r="T221" i="5"/>
  <c r="T281" i="5"/>
  <c r="T219" i="5"/>
  <c r="T195" i="5"/>
  <c r="T580" i="5"/>
  <c r="T416" i="5"/>
  <c r="T461" i="5"/>
  <c r="T456" i="5"/>
  <c r="T465" i="5"/>
  <c r="T425" i="5"/>
  <c r="T218" i="5"/>
  <c r="T156" i="5"/>
  <c r="T490" i="5"/>
  <c r="T383" i="5"/>
  <c r="T212" i="5"/>
  <c r="T569" i="5"/>
  <c r="T379" i="5"/>
  <c r="T391" i="5"/>
  <c r="T505" i="5"/>
  <c r="T274" i="5"/>
  <c r="T196" i="5"/>
  <c r="T172" i="5"/>
  <c r="T530" i="5"/>
  <c r="T496" i="5"/>
  <c r="T578" i="5"/>
  <c r="T507" i="5"/>
  <c r="T469" i="5"/>
  <c r="T433" i="5"/>
  <c r="T418" i="5"/>
  <c r="T370" i="5"/>
  <c r="T213" i="5"/>
  <c r="T211" i="5"/>
  <c r="T167" i="5"/>
  <c r="T452" i="5"/>
  <c r="T386" i="5"/>
  <c r="T200" i="5"/>
  <c r="T226" i="5"/>
  <c r="T186" i="5"/>
  <c r="T417" i="5"/>
  <c r="T428" i="5"/>
  <c r="T398" i="5"/>
  <c r="T241" i="5"/>
  <c r="T572" i="5"/>
  <c r="T522" i="5"/>
  <c r="T518" i="5"/>
  <c r="T567" i="5"/>
  <c r="T255" i="5"/>
  <c r="T385" i="5"/>
  <c r="T441" i="5"/>
  <c r="T421" i="5"/>
  <c r="T473" i="5"/>
  <c r="T159" i="5"/>
  <c r="T430" i="5"/>
  <c r="T366" i="5"/>
  <c r="T525" i="5"/>
  <c r="T199" i="5"/>
  <c r="T231" i="5"/>
  <c r="T280" i="5"/>
  <c r="T551" i="5"/>
  <c r="T435" i="5"/>
  <c r="T568" i="5"/>
  <c r="S468" i="5"/>
  <c r="T273" i="5"/>
  <c r="T426" i="5"/>
  <c r="T533" i="5"/>
  <c r="T405" i="5"/>
  <c r="T557" i="5"/>
  <c r="T429" i="5"/>
  <c r="T411" i="5"/>
  <c r="T388" i="5"/>
  <c r="T237" i="5"/>
  <c r="T171" i="5"/>
  <c r="T245" i="5"/>
  <c r="T476" i="5"/>
  <c r="T440" i="5"/>
  <c r="T427" i="5"/>
  <c r="T239" i="5"/>
  <c r="T261" i="5"/>
  <c r="T540" i="5"/>
  <c r="T487" i="5"/>
  <c r="T373" i="5"/>
  <c r="T408" i="5"/>
  <c r="T482" i="5"/>
  <c r="T249" i="5"/>
  <c r="T234" i="5"/>
  <c r="T279" i="5"/>
  <c r="T453" i="5"/>
  <c r="T183" i="5"/>
  <c r="T184" i="5"/>
  <c r="T268" i="5"/>
  <c r="T492" i="5"/>
  <c r="T477" i="5"/>
  <c r="T543" i="5"/>
  <c r="T576" i="5"/>
  <c r="T459" i="5"/>
  <c r="T202" i="5"/>
  <c r="T523" i="5"/>
  <c r="T431" i="5"/>
  <c r="T392" i="5"/>
  <c r="T390" i="5"/>
  <c r="T252" i="5"/>
  <c r="T205" i="5"/>
  <c r="T155" i="5"/>
  <c r="T355" i="5"/>
  <c r="T266" i="5"/>
  <c r="T265" i="5"/>
  <c r="T254" i="5"/>
  <c r="T494" i="5"/>
  <c r="T282" i="5"/>
  <c r="T236" i="5"/>
  <c r="T193" i="5"/>
  <c r="T170" i="5"/>
  <c r="T166" i="5"/>
  <c r="T566" i="5"/>
  <c r="T506" i="5"/>
  <c r="T520" i="5"/>
  <c r="T486" i="5"/>
  <c r="T387" i="5"/>
  <c r="T246" i="5"/>
  <c r="T243" i="5"/>
  <c r="T169" i="5"/>
  <c r="T178" i="5"/>
  <c r="T142" i="5"/>
  <c r="T54" i="5"/>
  <c r="T92" i="5"/>
  <c r="T65" i="5"/>
  <c r="T102" i="5"/>
  <c r="T84" i="5"/>
  <c r="T94" i="5"/>
  <c r="T107" i="5"/>
  <c r="S33" i="5"/>
  <c r="T103" i="5"/>
  <c r="T95" i="5"/>
  <c r="T127" i="5"/>
  <c r="T33" i="5"/>
  <c r="T34" i="5"/>
  <c r="T133" i="5"/>
  <c r="T18" i="5"/>
  <c r="T93" i="5"/>
  <c r="S73" i="5"/>
  <c r="T130" i="5"/>
  <c r="T125" i="5"/>
  <c r="T85" i="5"/>
  <c r="T32" i="5"/>
  <c r="T15" i="5"/>
  <c r="T23" i="5"/>
  <c r="S57" i="5"/>
  <c r="T53" i="5"/>
  <c r="T27" i="5"/>
  <c r="T39" i="5"/>
  <c r="T17" i="5"/>
  <c r="T138" i="5"/>
  <c r="T40" i="5"/>
  <c r="T57" i="5"/>
  <c r="T49" i="5"/>
  <c r="T110" i="5"/>
  <c r="T11" i="5"/>
  <c r="T116" i="5"/>
  <c r="T21" i="5"/>
  <c r="T87" i="5"/>
  <c r="T6" i="5"/>
  <c r="T71" i="5"/>
  <c r="T20" i="5"/>
  <c r="T14" i="5"/>
  <c r="T16" i="5"/>
  <c r="T25" i="5"/>
  <c r="T45" i="5"/>
  <c r="T29" i="5"/>
  <c r="S17" i="5"/>
  <c r="T136" i="5"/>
  <c r="T35" i="5"/>
  <c r="T42" i="5"/>
  <c r="T69" i="5"/>
  <c r="T75" i="5"/>
  <c r="T122" i="5"/>
  <c r="T67" i="5"/>
  <c r="T106" i="5"/>
  <c r="T12" i="5"/>
  <c r="T101" i="5"/>
  <c r="T44" i="5"/>
  <c r="T108" i="5"/>
  <c r="T89" i="5"/>
  <c r="T7" i="5"/>
  <c r="T98" i="5"/>
  <c r="T28" i="5"/>
  <c r="T105" i="5"/>
  <c r="T19" i="5"/>
  <c r="T52" i="5"/>
  <c r="T41" i="5"/>
  <c r="T70" i="5"/>
  <c r="T86" i="5"/>
  <c r="T132" i="5"/>
  <c r="T104" i="5"/>
  <c r="T8" i="5"/>
  <c r="T135" i="5"/>
  <c r="T83" i="5"/>
  <c r="T5" i="5"/>
  <c r="T129" i="5"/>
  <c r="T46" i="5"/>
  <c r="T61" i="5"/>
  <c r="T13" i="5"/>
  <c r="T9" i="5"/>
  <c r="T119" i="5"/>
  <c r="T115" i="5"/>
  <c r="T123" i="5"/>
  <c r="T140" i="5"/>
  <c r="T59" i="5"/>
  <c r="T88" i="5"/>
  <c r="T81" i="5"/>
  <c r="T141" i="5"/>
  <c r="T22" i="5"/>
  <c r="T58" i="5"/>
  <c r="T73" i="5"/>
  <c r="T43" i="5"/>
  <c r="T128" i="5"/>
  <c r="T100" i="5"/>
  <c r="T64" i="5"/>
  <c r="T48" i="5"/>
  <c r="T96" i="5"/>
  <c r="T60" i="5"/>
  <c r="T111" i="5"/>
  <c r="T79" i="5"/>
  <c r="T26" i="5"/>
  <c r="T113" i="5"/>
  <c r="T120" i="5"/>
  <c r="T36" i="5"/>
  <c r="T139" i="5"/>
  <c r="T50" i="5"/>
  <c r="T62" i="5"/>
  <c r="T31" i="5"/>
  <c r="T56" i="5"/>
  <c r="T78" i="5"/>
  <c r="T72" i="5"/>
  <c r="T91" i="5"/>
  <c r="T90" i="5"/>
  <c r="T118" i="5"/>
  <c r="T10" i="5"/>
  <c r="T30" i="5"/>
  <c r="T80" i="5"/>
  <c r="T82" i="5"/>
  <c r="T124" i="5"/>
  <c r="T121" i="5"/>
  <c r="T76" i="5"/>
  <c r="T55" i="5"/>
  <c r="T47" i="5"/>
  <c r="T63" i="5"/>
  <c r="T38" i="5"/>
  <c r="T126" i="5"/>
  <c r="T134" i="5"/>
  <c r="T114" i="5"/>
  <c r="T97" i="5"/>
  <c r="T77" i="5"/>
  <c r="T109" i="5"/>
  <c r="T66" i="5"/>
  <c r="T137" i="5"/>
  <c r="T117" i="5"/>
  <c r="T24" i="5"/>
  <c r="T37" i="5"/>
  <c r="T51" i="5"/>
  <c r="T99" i="5"/>
  <c r="T74" i="5"/>
  <c r="T112" i="5"/>
  <c r="T131" i="5"/>
  <c r="T68" i="5"/>
  <c r="X73" i="5" l="1"/>
  <c r="H65" i="6"/>
  <c r="D65" i="6" s="1"/>
  <c r="C65" i="6"/>
  <c r="C63" i="6"/>
  <c r="H64" i="6"/>
  <c r="D64" i="6" s="1"/>
  <c r="C64" i="6"/>
  <c r="C62" i="6"/>
  <c r="X57" i="5"/>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S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H66" i="6" s="1"/>
  <c r="H67" i="6" s="1"/>
  <c r="D2" i="6" s="1"/>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367" i="5"/>
  <c r="S283" i="5"/>
  <c r="S473" i="5"/>
  <c r="S279" i="5"/>
  <c r="S503" i="5"/>
  <c r="S551" i="5"/>
  <c r="S150" i="5"/>
  <c r="S417" i="5"/>
  <c r="S148" i="5"/>
  <c r="S508" i="5"/>
  <c r="S410" i="5"/>
  <c r="S158" i="5"/>
  <c r="S449" i="5"/>
  <c r="S547" i="5"/>
  <c r="S184" i="5"/>
  <c r="S174" i="5"/>
  <c r="S428" i="5"/>
  <c r="S464" i="5"/>
  <c r="S226" i="5"/>
  <c r="S558" i="5"/>
  <c r="S433" i="5"/>
  <c r="S565" i="5"/>
  <c r="S478" i="5"/>
  <c r="S168" i="5"/>
  <c r="S444" i="5"/>
  <c r="S234" i="5"/>
  <c r="S487" i="5"/>
  <c r="S434" i="5"/>
  <c r="S371" i="5"/>
  <c r="S511" i="5"/>
  <c r="S255" i="5"/>
  <c r="S169" i="5"/>
  <c r="S452" i="5"/>
  <c r="S436" i="5"/>
  <c r="S213" i="5"/>
  <c r="S352" i="5"/>
  <c r="S496" i="5"/>
  <c r="S530" i="5"/>
  <c r="S274" i="5"/>
  <c r="S505" i="5"/>
  <c r="S509" i="5"/>
  <c r="S258" i="5"/>
  <c r="S402" i="5"/>
  <c r="S403" i="5"/>
  <c r="S515" i="5"/>
  <c r="S374" i="5"/>
  <c r="S219" i="5"/>
  <c r="S407" i="5"/>
  <c r="S516" i="5"/>
  <c r="S372" i="5"/>
  <c r="S510" i="5"/>
  <c r="S349" i="5"/>
  <c r="S563" i="5"/>
  <c r="S517" i="5"/>
  <c r="S187" i="5"/>
  <c r="S388" i="5"/>
  <c r="S463" i="5"/>
  <c r="S185" i="5"/>
  <c r="S573" i="5"/>
  <c r="S577" i="5"/>
  <c r="S564" i="5"/>
  <c r="S147" i="5"/>
  <c r="S412" i="5"/>
  <c r="S441" i="5"/>
  <c r="S484" i="5"/>
  <c r="S458" i="5"/>
  <c r="S204" i="5"/>
  <c r="S186" i="5"/>
  <c r="S157" i="5"/>
  <c r="S178" i="5"/>
  <c r="S442" i="5"/>
  <c r="S486" i="5"/>
  <c r="S270" i="5"/>
  <c r="S549" i="5"/>
  <c r="S534" i="5"/>
  <c r="S201" i="5"/>
  <c r="S420" i="5"/>
  <c r="S146" i="5"/>
  <c r="S356" i="5"/>
  <c r="S432" i="5"/>
  <c r="S202" i="5"/>
  <c r="S218" i="5"/>
  <c r="S535" i="5"/>
  <c r="S206" i="5"/>
  <c r="S268" i="5"/>
  <c r="S375" i="5"/>
  <c r="S190" i="5"/>
  <c r="S203" i="5"/>
  <c r="S427" i="5"/>
  <c r="S235" i="5"/>
  <c r="S251" i="5"/>
  <c r="S382" i="5"/>
  <c r="S429" i="5"/>
  <c r="S481" i="5"/>
  <c r="S362" i="5"/>
  <c r="S414" i="5"/>
  <c r="S271" i="5"/>
  <c r="S480" i="5"/>
  <c r="S361" i="5"/>
  <c r="S553" i="5"/>
  <c r="S267" i="5"/>
  <c r="S421" i="5"/>
  <c r="S385" i="5"/>
  <c r="S483" i="5"/>
  <c r="S173" i="5"/>
  <c r="S191" i="5"/>
  <c r="S164" i="5"/>
  <c r="S275" i="5"/>
  <c r="S493" i="5"/>
  <c r="S569" i="5"/>
  <c r="S162" i="5"/>
  <c r="S153" i="5"/>
  <c r="S155" i="5"/>
  <c r="S210" i="5"/>
  <c r="S392" i="5"/>
  <c r="S538" i="5"/>
  <c r="S559" i="5"/>
  <c r="S247" i="5"/>
  <c r="S394" i="5"/>
  <c r="S465" i="5"/>
  <c r="S580" i="5"/>
  <c r="S152" i="5"/>
  <c r="S354" i="5"/>
  <c r="S502" i="5"/>
  <c r="S260" i="5"/>
  <c r="S519" i="5"/>
  <c r="S207" i="5"/>
  <c r="S521" i="5"/>
  <c r="S171" i="5"/>
  <c r="S369" i="5"/>
  <c r="S539" i="5"/>
  <c r="S277" i="5"/>
  <c r="S280" i="5"/>
  <c r="S562" i="5"/>
  <c r="S574" i="5"/>
  <c r="S397" i="5"/>
  <c r="S554" i="5"/>
  <c r="S398" i="5"/>
  <c r="S194" i="5"/>
  <c r="S257" i="5"/>
  <c r="S571" i="5"/>
  <c r="S167" i="5"/>
  <c r="S253" i="5"/>
  <c r="S386" i="5"/>
  <c r="S506" i="5"/>
  <c r="S364" i="5"/>
  <c r="S357" i="5"/>
  <c r="S560" i="5"/>
  <c r="S281" i="5"/>
  <c r="S395" i="5"/>
  <c r="S460" i="5"/>
  <c r="S239" i="5"/>
  <c r="S445" i="5"/>
  <c r="S276" i="5"/>
  <c r="S527" i="5"/>
  <c r="S199" i="5"/>
  <c r="S384" i="5"/>
  <c r="S572" i="5"/>
  <c r="S365" i="5"/>
  <c r="S489" i="5"/>
  <c r="S166" i="5"/>
  <c r="S170" i="5"/>
  <c r="S391" i="5"/>
  <c r="S533" i="5"/>
  <c r="S426" i="5"/>
  <c r="S525" i="5"/>
  <c r="S536" i="5"/>
  <c r="S350" i="5"/>
  <c r="S546" i="5"/>
  <c r="S540" i="5"/>
  <c r="S358" i="5"/>
  <c r="S366" i="5"/>
  <c r="S180" i="5"/>
  <c r="S379" i="5"/>
  <c r="S472" i="5"/>
  <c r="S492" i="5"/>
  <c r="S585" i="5"/>
  <c r="S156" i="5"/>
  <c r="S176" i="5"/>
  <c r="S555" i="5"/>
  <c r="S144" i="5"/>
  <c r="S523" i="5"/>
  <c r="S217" i="5"/>
  <c r="S576" i="5"/>
  <c r="S225" i="5"/>
  <c r="S256" i="5"/>
  <c r="S482" i="5"/>
  <c r="S440" i="5"/>
  <c r="S411" i="5"/>
  <c r="S557" i="5"/>
  <c r="S405" i="5"/>
  <c r="S269" i="5"/>
  <c r="S435" i="5"/>
  <c r="S272" i="5"/>
  <c r="S471" i="5"/>
  <c r="S552" i="5"/>
  <c r="S163" i="5"/>
  <c r="S579" i="5"/>
  <c r="S179" i="5"/>
  <c r="S252" i="5"/>
  <c r="S390" i="5"/>
  <c r="S485" i="5"/>
  <c r="S223" i="5"/>
  <c r="S448" i="5"/>
  <c r="S373" i="5"/>
  <c r="S209" i="5"/>
  <c r="S475" i="5"/>
  <c r="S273" i="5"/>
  <c r="S556" i="5"/>
  <c r="S159" i="5"/>
  <c r="S454" i="5"/>
  <c r="S220" i="5"/>
  <c r="S499" i="5"/>
  <c r="S248" i="5"/>
  <c r="S447" i="5"/>
  <c r="S507" i="5"/>
  <c r="S243" i="5"/>
  <c r="S406" i="5"/>
  <c r="S399" i="5"/>
  <c r="S418" i="5"/>
  <c r="S469" i="5"/>
  <c r="S498" i="5"/>
  <c r="S566" i="5"/>
  <c r="S193" i="5"/>
  <c r="S232" i="5"/>
  <c r="S182" i="5"/>
  <c r="S244" i="5"/>
  <c r="S205" i="5"/>
  <c r="S459" i="5"/>
  <c r="S242" i="5"/>
  <c r="S532" i="5"/>
  <c r="S238" i="5"/>
  <c r="S476" i="5"/>
  <c r="S500" i="5"/>
  <c r="S531" i="5"/>
  <c r="S568" i="5"/>
  <c r="S462" i="5"/>
  <c r="S211" i="5"/>
  <c r="S578" i="5"/>
  <c r="S351" i="5"/>
  <c r="S542" i="5"/>
  <c r="S145" i="5"/>
  <c r="S181" i="5"/>
  <c r="S165" i="5"/>
  <c r="S216" i="5"/>
  <c r="S212" i="5"/>
  <c r="S383" i="5"/>
  <c r="S491" i="5"/>
  <c r="S456" i="5"/>
  <c r="S474" i="5"/>
  <c r="S195" i="5"/>
  <c r="S221" i="5"/>
  <c r="S470" i="5"/>
  <c r="S438" i="5"/>
  <c r="S504" i="5"/>
  <c r="S479" i="5"/>
  <c r="S526" i="5"/>
  <c r="S415" i="5"/>
  <c r="S151" i="5"/>
  <c r="S419" i="5"/>
  <c r="S584" i="5"/>
  <c r="S259" i="5"/>
  <c r="S188" i="5"/>
  <c r="S451" i="5"/>
  <c r="S501" i="5"/>
  <c r="S424" i="5"/>
  <c r="S262" i="5"/>
  <c r="S227" i="5"/>
  <c r="S229" i="5"/>
  <c r="S359" i="5"/>
  <c r="S497" i="5"/>
  <c r="S524" i="5"/>
  <c r="S457" i="5"/>
  <c r="S161" i="5"/>
  <c r="S387" i="5"/>
  <c r="S378" i="5"/>
  <c r="S380" i="5"/>
  <c r="S236" i="5"/>
  <c r="S143" i="5"/>
  <c r="S196" i="5"/>
  <c r="S254" i="5"/>
  <c r="S266" i="5"/>
  <c r="S278" i="5"/>
  <c r="S363" i="5"/>
  <c r="S477" i="5"/>
  <c r="S575" i="5"/>
  <c r="S154" i="5"/>
  <c r="S263" i="5"/>
  <c r="S467" i="5"/>
  <c r="S222" i="5"/>
  <c r="S430" i="5"/>
  <c r="S423" i="5"/>
  <c r="S282" i="5"/>
  <c r="S208" i="5"/>
  <c r="S189" i="5"/>
  <c r="S490" i="5"/>
  <c r="S228" i="5"/>
  <c r="S416" i="5"/>
  <c r="S264" i="5"/>
  <c r="S192" i="5"/>
  <c r="S422" i="5"/>
  <c r="S214" i="5"/>
  <c r="S389" i="5"/>
  <c r="S175" i="5"/>
  <c r="S393" i="5"/>
  <c r="S488" i="5"/>
  <c r="S439" i="5"/>
  <c r="S512" i="5"/>
  <c r="S149" i="5"/>
  <c r="S200" i="5"/>
  <c r="S520" i="5"/>
  <c r="S197" i="5"/>
  <c r="S370" i="5"/>
  <c r="S160" i="5"/>
  <c r="S246" i="5"/>
  <c r="S353" i="5"/>
  <c r="S455" i="5"/>
  <c r="S537" i="5"/>
  <c r="S443" i="5"/>
  <c r="S265" i="5"/>
  <c r="S355" i="5"/>
  <c r="S431" i="5"/>
  <c r="S544" i="5"/>
  <c r="S543" i="5"/>
  <c r="S360" i="5"/>
  <c r="S461" i="5"/>
  <c r="S453" i="5"/>
  <c r="S408" i="5"/>
  <c r="S528" i="5"/>
  <c r="S261" i="5"/>
  <c r="S368" i="5"/>
  <c r="S245" i="5"/>
  <c r="S237" i="5"/>
  <c r="S437" i="5"/>
  <c r="S446" i="5"/>
  <c r="S231" i="5"/>
  <c r="S561" i="5"/>
  <c r="S250" i="5"/>
  <c r="S400" i="5"/>
  <c r="S401" i="5"/>
  <c r="S240" i="5"/>
  <c r="S567" i="5"/>
  <c r="S529" i="5"/>
  <c r="S522" i="5"/>
  <c r="S241" i="5"/>
  <c r="S177" i="5"/>
  <c r="S381" i="5"/>
  <c r="S215" i="5"/>
  <c r="S450" i="5"/>
  <c r="S377" i="5"/>
  <c r="S413" i="5"/>
  <c r="S233" i="5"/>
  <c r="S230" i="5"/>
  <c r="S376" i="5"/>
  <c r="S550" i="5"/>
  <c r="S409" i="5"/>
  <c r="S172" i="5"/>
  <c r="S494" i="5"/>
  <c r="S224" i="5"/>
  <c r="S425" i="5"/>
  <c r="S396" i="5"/>
  <c r="S183" i="5"/>
  <c r="S249" i="5"/>
  <c r="S548" i="5"/>
  <c r="S545" i="5"/>
  <c r="S495" i="5"/>
  <c r="S404" i="5"/>
  <c r="S518" i="5"/>
  <c r="S142" i="5"/>
  <c r="S128" i="5"/>
  <c r="S39" i="5"/>
  <c r="S103" i="5"/>
  <c r="S110" i="5"/>
  <c r="S81" i="5"/>
  <c r="S23" i="5"/>
  <c r="S84" i="5"/>
  <c r="S58" i="5"/>
  <c r="S9" i="5"/>
  <c r="S12" i="5"/>
  <c r="S107" i="5"/>
  <c r="S29" i="5"/>
  <c r="S48" i="5"/>
  <c r="S63" i="5"/>
  <c r="S109" i="5"/>
  <c r="S62" i="5"/>
  <c r="S68" i="5"/>
  <c r="S14" i="5"/>
  <c r="S115" i="5"/>
  <c r="S6" i="5"/>
  <c r="S136" i="5"/>
  <c r="S114" i="5"/>
  <c r="S91" i="5"/>
  <c r="S98" i="5"/>
  <c r="S78" i="5"/>
  <c r="S88" i="5"/>
  <c r="S131" i="5"/>
  <c r="S101" i="5"/>
  <c r="S112" i="5"/>
  <c r="S20" i="5"/>
  <c r="S56" i="5"/>
  <c r="S77" i="5"/>
  <c r="S126" i="5"/>
  <c r="S102" i="5"/>
  <c r="S118" i="5"/>
  <c r="S36" i="5"/>
  <c r="S55" i="5"/>
  <c r="S87" i="5"/>
  <c r="S15" i="5"/>
  <c r="S97" i="5"/>
  <c r="S138" i="5"/>
  <c r="S44" i="5"/>
  <c r="S130" i="5"/>
  <c r="S99" i="5"/>
  <c r="S89" i="5"/>
  <c r="S82" i="5"/>
  <c r="S93" i="5"/>
  <c r="S66" i="5"/>
  <c r="S54" i="5"/>
  <c r="S129" i="5"/>
  <c r="S111" i="5"/>
  <c r="S30" i="5"/>
  <c r="S31" i="5"/>
  <c r="S83" i="5"/>
  <c r="S28" i="5"/>
  <c r="S90" i="5"/>
  <c r="S79" i="5"/>
  <c r="S139" i="5"/>
  <c r="S125" i="5"/>
  <c r="S134" i="5"/>
  <c r="S49" i="5"/>
  <c r="S135" i="5"/>
  <c r="S116" i="5"/>
  <c r="S76" i="5"/>
  <c r="S52" i="5"/>
  <c r="S124" i="5"/>
  <c r="S45" i="5"/>
  <c r="S104" i="5"/>
  <c r="S64" i="5"/>
  <c r="S65" i="5"/>
  <c r="S19" i="5"/>
  <c r="S117" i="5"/>
  <c r="S75" i="5"/>
  <c r="S27" i="5"/>
  <c r="S120" i="5"/>
  <c r="S127" i="5"/>
  <c r="S41" i="5"/>
  <c r="S119" i="5"/>
  <c r="S70" i="5"/>
  <c r="S22" i="5"/>
  <c r="S140" i="5"/>
  <c r="S132" i="5"/>
  <c r="S46" i="5"/>
  <c r="S106" i="5"/>
  <c r="S123" i="5"/>
  <c r="S10" i="5"/>
  <c r="S42" i="5"/>
  <c r="S8" i="5"/>
  <c r="S80" i="5"/>
  <c r="S26" i="5"/>
  <c r="S96" i="5"/>
  <c r="S137" i="5"/>
  <c r="S40" i="5"/>
  <c r="S141" i="5"/>
  <c r="S71" i="5"/>
  <c r="S32" i="5"/>
  <c r="S59" i="5"/>
  <c r="S53" i="5"/>
  <c r="S38" i="5"/>
  <c r="S133" i="5"/>
  <c r="S108" i="5"/>
  <c r="S34" i="5"/>
  <c r="S35" i="5"/>
  <c r="S24" i="5"/>
  <c r="S21" i="5"/>
  <c r="S105" i="5"/>
  <c r="S25" i="5"/>
  <c r="S18" i="5"/>
  <c r="S69" i="5"/>
  <c r="S7" i="5"/>
  <c r="S100" i="5"/>
  <c r="S16" i="5"/>
  <c r="S85" i="5"/>
  <c r="S61" i="5"/>
  <c r="S74" i="5"/>
  <c r="S121" i="5"/>
  <c r="S50" i="5"/>
  <c r="S37" i="5"/>
  <c r="S86" i="5"/>
  <c r="S72" i="5"/>
  <c r="S67" i="5"/>
  <c r="S47" i="5"/>
  <c r="S122" i="5"/>
  <c r="S92" i="5"/>
  <c r="S5" i="5"/>
  <c r="S13" i="5"/>
  <c r="S94" i="5"/>
  <c r="S43" i="5"/>
  <c r="S95" i="5"/>
  <c r="S60" i="5"/>
  <c r="S51" i="5"/>
  <c r="S113" i="5"/>
  <c r="S11" i="5"/>
</calcChain>
</file>

<file path=xl/comments1.xml><?xml version="1.0" encoding="utf-8"?>
<comments xmlns="http://schemas.openxmlformats.org/spreadsheetml/2006/main">
  <authors>
    <author>a64a</author>
  </authors>
  <commentList>
    <comment ref="P3" authorId="0">
      <text>
        <r>
          <rPr>
            <sz val="9"/>
            <color indexed="81"/>
            <rFont val="ＭＳ Ｐゴシック"/>
            <family val="3"/>
            <charset val="128"/>
          </rPr>
          <t>location number in language list</t>
        </r>
      </text>
    </comment>
    <comment ref="P9" authorId="0">
      <text>
        <r>
          <rPr>
            <sz val="9"/>
            <color indexed="81"/>
            <rFont val="ＭＳ Ｐゴシック"/>
            <family val="3"/>
            <charset val="128"/>
          </rPr>
          <t>list for Validation in D9</t>
        </r>
      </text>
    </comment>
    <comment ref="P26" authorId="0">
      <text>
        <r>
          <rPr>
            <sz val="9"/>
            <color indexed="81"/>
            <rFont val="ＭＳ Ｐゴシック"/>
            <family val="3"/>
            <charset val="128"/>
          </rPr>
          <t>condition for answer Q3 and later</t>
        </r>
      </text>
    </comment>
    <comment ref="Q31" authorId="0">
      <text>
        <r>
          <rPr>
            <sz val="9"/>
            <color indexed="81"/>
            <rFont val="ＭＳ Ｐゴシック"/>
            <family val="3"/>
            <charset val="128"/>
          </rPr>
          <t>condition for answer</t>
        </r>
      </text>
    </comment>
    <comment ref="P32" authorId="0">
      <text>
        <r>
          <rPr>
            <sz val="9"/>
            <color indexed="81"/>
            <rFont val="ＭＳ Ｐゴシック"/>
            <family val="3"/>
            <charset val="128"/>
          </rPr>
          <t>condition for answer Q3 and later</t>
        </r>
      </text>
    </comment>
    <comment ref="Q37" author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<sst xmlns="http://schemas.openxmlformats.org/spreadsheetml/2006/main" count="21769" uniqueCount="15503">
  <si>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</si>
  <si>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</si>
  <si>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</si>
  <si>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</si>
  <si>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</si>
  <si>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</si>
  <si>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</si>
  <si>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</si>
  <si>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</si>
  <si>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</si>
  <si>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</si>
  <si>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</si>
  <si>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</si>
  <si>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</si>
  <si>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</si>
  <si>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</si>
  <si>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</si>
  <si>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</si>
  <si>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</si>
  <si>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</si>
  <si>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</si>
  <si>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</si>
  <si>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</si>
  <si>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</si>
  <si>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</si>
  <si>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</si>
  <si>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</si>
  <si>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</si>
  <si>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</si>
  <si>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</si>
  <si>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</si>
  <si>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</si>
  <si>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</si>
  <si>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</si>
  <si>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</si>
  <si>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</si>
  <si>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</si>
  <si>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</si>
  <si>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</si>
  <si>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</si>
  <si>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</si>
  <si>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</si>
  <si>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</si>
  <si>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</si>
  <si>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</si>
  <si>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</si>
  <si>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</si>
  <si>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</si>
  <si>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</si>
  <si>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</si>
  <si>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</si>
  <si>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</si>
  <si>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</si>
  <si>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</si>
  <si>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</si>
  <si>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</si>
  <si>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</si>
  <si>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</si>
  <si>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</si>
  <si>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</si>
  <si>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</si>
  <si>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</si>
  <si>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</si>
  <si>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</si>
  <si>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</si>
  <si>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</si>
  <si>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</si>
  <si>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</si>
  <si>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</si>
  <si>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</si>
  <si>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</si>
  <si>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</si>
  <si>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</si>
  <si>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</si>
  <si>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</si>
  <si>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</si>
  <si>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</si>
  <si>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</si>
  <si>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</si>
  <si>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</si>
  <si>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</si>
  <si>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</si>
  <si>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</si>
  <si>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</si>
  <si>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</si>
  <si>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</si>
  <si>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</si>
  <si>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</si>
  <si>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</si>
  <si>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</si>
  <si>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</si>
  <si>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</si>
  <si>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</si>
  <si>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</si>
  <si>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</si>
  <si>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</si>
  <si>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</si>
  <si>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</si>
  <si>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</si>
  <si>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</si>
  <si>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</si>
  <si>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</si>
  <si>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</si>
  <si>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</si>
  <si>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</si>
  <si>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</si>
  <si>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</si>
  <si>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</si>
  <si>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</si>
  <si>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</si>
  <si>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</si>
  <si>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</si>
  <si>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</si>
  <si>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</si>
  <si>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</si>
  <si>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</si>
  <si>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</si>
  <si>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</si>
  <si>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</si>
  <si>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</si>
  <si>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</si>
  <si>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</si>
  <si>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</si>
  <si>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</si>
  <si>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</si>
  <si>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</si>
  <si>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</si>
  <si>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</si>
  <si>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</si>
  <si>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</si>
  <si>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</si>
  <si>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</si>
  <si>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</si>
  <si>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</si>
  <si>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</si>
  <si>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</si>
  <si>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</si>
  <si>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</si>
  <si>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</si>
  <si>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</si>
  <si>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</si>
  <si>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</si>
  <si>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</si>
  <si>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</si>
  <si>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</si>
  <si>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</si>
  <si>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</si>
  <si>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</si>
  <si>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</si>
  <si>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</si>
  <si>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</si>
  <si>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</si>
  <si>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</si>
  <si>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</si>
  <si>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</si>
  <si>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</si>
  <si>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</si>
  <si>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</si>
  <si>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</si>
  <si>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</si>
  <si>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</si>
  <si>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</si>
  <si>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</si>
  <si>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</si>
  <si>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</si>
  <si>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</si>
  <si>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</si>
  <si>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</si>
  <si>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</si>
  <si>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</si>
  <si>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</si>
  <si>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</si>
  <si>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</si>
  <si>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</si>
  <si>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</si>
  <si>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</si>
  <si>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</si>
  <si>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</si>
  <si>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</si>
  <si>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</si>
  <si>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</si>
  <si>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</si>
  <si>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</si>
  <si>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</si>
  <si>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</si>
  <si>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</si>
  <si>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</si>
  <si>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</si>
  <si>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</si>
  <si>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</si>
  <si>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</si>
  <si>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</si>
  <si>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</si>
  <si>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</si>
  <si>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</si>
  <si>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</si>
  <si>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</si>
  <si>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</si>
  <si>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</si>
  <si>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</si>
  <si>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</si>
  <si>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</si>
  <si>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</si>
  <si>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</si>
  <si>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</si>
  <si>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</si>
  <si>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</si>
  <si>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</si>
  <si>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</si>
  <si>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</si>
  <si>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</si>
  <si>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</si>
  <si>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</si>
  <si>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</si>
  <si>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</si>
  <si>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</si>
  <si>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</si>
  <si>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</si>
  <si>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</si>
  <si>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</si>
  <si>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</si>
  <si>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</si>
  <si>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</si>
  <si>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</si>
  <si>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</si>
  <si>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</si>
  <si>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</si>
  <si>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</si>
  <si>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</si>
  <si>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</si>
  <si>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</si>
  <si>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</si>
  <si>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</si>
  <si>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</si>
  <si>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</si>
  <si>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</si>
  <si>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</si>
  <si>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</si>
  <si>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</si>
  <si>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</si>
  <si>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</si>
  <si>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</si>
  <si>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</si>
  <si>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</si>
  <si>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</si>
  <si>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</si>
  <si>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</si>
  <si>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</si>
  <si>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</si>
  <si>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</si>
  <si>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</si>
  <si>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</si>
  <si>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</si>
  <si>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</si>
  <si>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</si>
  <si>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</si>
  <si>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</si>
  <si>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</si>
  <si>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</si>
  <si>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</si>
  <si>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</si>
  <si>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</si>
  <si>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</si>
  <si>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</si>
  <si>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</si>
  <si>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</si>
  <si>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</si>
  <si>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</si>
  <si>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</si>
  <si>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</si>
  <si>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</si>
  <si>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</si>
  <si>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</si>
  <si>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</si>
  <si>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</si>
  <si>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</si>
  <si>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</si>
  <si>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</si>
  <si>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</si>
  <si>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</si>
  <si>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</si>
  <si>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</si>
  <si>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</si>
  <si>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</si>
  <si>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</si>
  <si>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</si>
  <si>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</si>
  <si>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</si>
  <si>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</si>
  <si>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</si>
  <si>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</si>
  <si>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</si>
  <si>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</si>
  <si>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</si>
  <si>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</si>
  <si>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</si>
  <si>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</si>
  <si>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</si>
  <si>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</si>
  <si>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</si>
  <si>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</si>
  <si>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</si>
  <si>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</si>
  <si>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</si>
  <si>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</si>
  <si>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</si>
  <si>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</si>
  <si>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</si>
  <si>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</si>
  <si>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</si>
  <si>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</si>
  <si>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</si>
  <si>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</si>
  <si>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</si>
  <si>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</si>
  <si>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</si>
  <si>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</si>
  <si>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</si>
  <si>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</si>
  <si>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</si>
  <si>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</si>
  <si>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</si>
  <si>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</si>
  <si>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</si>
  <si>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</si>
  <si>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</si>
  <si>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</si>
  <si>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</si>
  <si>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</si>
  <si>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</si>
  <si>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</si>
  <si>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</si>
  <si>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</si>
  <si>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</si>
  <si>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</si>
  <si>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</si>
  <si>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</si>
  <si>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</si>
  <si>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</si>
  <si>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</si>
  <si>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</si>
  <si>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</si>
  <si>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</si>
  <si>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</si>
  <si>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</si>
  <si>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</si>
  <si>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</si>
  <si>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</si>
  <si>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</si>
  <si>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</si>
  <si>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</si>
  <si>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</si>
  <si>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</si>
  <si>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</si>
  <si>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</si>
  <si>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</si>
  <si>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</si>
  <si>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</si>
  <si>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</si>
  <si>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</si>
  <si>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</si>
  <si>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</si>
  <si>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</si>
  <si>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</si>
  <si>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</si>
  <si>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</si>
  <si>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</si>
  <si>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</si>
  <si>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</si>
  <si>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</si>
  <si>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</si>
  <si>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</si>
  <si>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</si>
  <si>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</si>
  <si>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</si>
  <si>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</si>
  <si>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</si>
  <si>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</si>
  <si>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</si>
  <si>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</si>
  <si>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</si>
  <si>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</si>
  <si>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</si>
  <si>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</si>
  <si>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</si>
  <si>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</si>
  <si>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</si>
  <si>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</si>
  <si>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</si>
  <si>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</si>
  <si>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</si>
  <si>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</si>
  <si>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</si>
  <si>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</si>
  <si>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</si>
  <si>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</si>
  <si>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</si>
  <si>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</si>
  <si>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</si>
  <si>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</si>
  <si>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</si>
  <si>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</si>
  <si>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</si>
  <si>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</si>
  <si>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</si>
  <si>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</si>
  <si>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</si>
  <si>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</si>
  <si>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</si>
  <si>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</si>
  <si>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</si>
  <si>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</si>
  <si>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</si>
  <si>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</si>
  <si>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</si>
  <si>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</si>
  <si>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</si>
  <si>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</si>
  <si>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</si>
  <si>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</si>
  <si>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</si>
  <si>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</si>
  <si>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</si>
  <si>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</si>
  <si>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</si>
  <si>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</si>
  <si>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</si>
  <si>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</si>
  <si>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</si>
  <si>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</si>
  <si>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</si>
  <si>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</si>
  <si>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</si>
  <si>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</si>
  <si>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</si>
  <si>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</si>
  <si>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</si>
  <si>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</si>
  <si>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</si>
  <si>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</si>
  <si>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</si>
  <si>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</si>
  <si>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</si>
  <si>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</si>
  <si>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</si>
  <si>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</si>
  <si>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</si>
  <si>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</si>
  <si>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</si>
  <si>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</si>
  <si>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</si>
  <si>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</si>
  <si>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</si>
  <si>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</si>
  <si>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</si>
  <si>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</si>
  <si>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</si>
  <si>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</si>
  <si>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</si>
  <si>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</si>
  <si>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</si>
  <si>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</si>
  <si>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</si>
  <si>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</si>
  <si>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</si>
  <si>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</si>
  <si>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</si>
  <si>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</si>
  <si>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</si>
  <si>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</si>
  <si>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</si>
  <si>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</si>
  <si>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</si>
  <si>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</si>
  <si>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</si>
  <si>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</si>
  <si>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</si>
  <si>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</si>
  <si>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</si>
  <si>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</si>
  <si>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</si>
  <si>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</si>
  <si>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</si>
  <si>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</si>
  <si>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</si>
  <si>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</si>
  <si>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</si>
  <si>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</si>
  <si>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</si>
  <si>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</si>
  <si>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</si>
  <si>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</si>
  <si>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</si>
  <si>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</si>
  <si>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</si>
  <si>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</si>
  <si>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</si>
  <si>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</si>
  <si>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</si>
  <si>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</si>
  <si>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</si>
  <si>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</si>
  <si>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</si>
  <si>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</si>
  <si>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</si>
  <si>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</si>
  <si>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</si>
  <si>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</si>
  <si>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</si>
  <si>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</si>
  <si>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</si>
  <si>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</si>
  <si>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</si>
  <si>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</si>
  <si>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</si>
  <si>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</si>
  <si>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</si>
  <si>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</si>
  <si>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</si>
  <si>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</si>
  <si>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</si>
  <si>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</si>
  <si>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</si>
  <si>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</si>
  <si>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</si>
  <si>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</si>
  <si>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</si>
  <si>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</si>
  <si>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</si>
  <si>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</si>
  <si>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</si>
  <si>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</si>
  <si>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</si>
  <si>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</si>
  <si>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</si>
  <si>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</si>
  <si>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</si>
  <si>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</si>
  <si>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</si>
  <si>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</si>
  <si>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</si>
  <si>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</si>
  <si>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</si>
  <si>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</si>
  <si>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</si>
  <si>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</si>
  <si>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</si>
  <si>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</si>
  <si>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</si>
  <si>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</si>
  <si>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</si>
  <si>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</si>
  <si>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</si>
  <si>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</si>
  <si>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</si>
  <si>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</si>
  <si>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</si>
  <si>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</si>
  <si>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</si>
  <si>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</si>
  <si>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</si>
  <si>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</si>
  <si>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</si>
  <si>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</si>
  <si>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</si>
  <si>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</si>
  <si>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</si>
  <si>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</si>
  <si>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</si>
  <si>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</si>
  <si>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</si>
  <si>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</si>
  <si>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</si>
  <si>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</si>
  <si>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</si>
  <si>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</si>
  <si>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</si>
  <si>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</si>
  <si>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</si>
  <si>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</si>
  <si>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</si>
  <si>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</si>
  <si>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</si>
  <si>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</si>
  <si>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</si>
  <si>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</si>
  <si>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</si>
  <si>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</si>
  <si>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</si>
  <si>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</si>
  <si>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</si>
  <si>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</si>
  <si>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</si>
  <si>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</si>
  <si>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</si>
  <si>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</si>
  <si>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</si>
  <si>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</si>
  <si>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</si>
  <si>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</si>
  <si>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</si>
  <si>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</si>
  <si>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</si>
  <si>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</si>
  <si>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</si>
  <si>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</si>
  <si>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</si>
  <si>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</si>
  <si>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</si>
  <si>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</si>
  <si>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</si>
  <si>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</si>
  <si>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</si>
  <si>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</si>
  <si>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</si>
  <si>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</si>
  <si>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</si>
  <si>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</si>
  <si>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</si>
  <si>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</si>
  <si>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</si>
  <si>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</si>
  <si>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</si>
  <si>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</si>
  <si>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</si>
  <si>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</si>
  <si>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</si>
  <si>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</si>
  <si>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</si>
  <si>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</si>
  <si>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</si>
  <si>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</si>
  <si>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</si>
  <si>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</si>
  <si>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</si>
  <si>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</si>
  <si>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</si>
  <si>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</si>
  <si>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</si>
  <si>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</si>
  <si>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</si>
  <si>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</si>
  <si>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</si>
  <si>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</si>
  <si>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</si>
  <si>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</si>
  <si>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</si>
  <si>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</si>
  <si>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</si>
  <si>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</si>
  <si>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</si>
  <si>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</si>
  <si>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</si>
  <si>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</si>
  <si>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</si>
  <si>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</si>
  <si>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</si>
  <si>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</si>
  <si>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</si>
  <si>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</si>
  <si>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</si>
  <si>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</si>
  <si>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</si>
  <si>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</si>
  <si>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</si>
  <si>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</si>
  <si>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</si>
  <si>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</si>
  <si>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</si>
  <si>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</si>
  <si>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</si>
  <si>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</si>
  <si>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</si>
  <si>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</si>
  <si>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</si>
  <si>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</si>
  <si>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</si>
  <si>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</si>
  <si>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</si>
  <si>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</si>
  <si>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</si>
  <si>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</si>
  <si>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</si>
  <si>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</si>
  <si>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</si>
  <si>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</si>
  <si>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</si>
  <si>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</si>
  <si>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</si>
  <si>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</si>
  <si>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</si>
  <si>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</si>
  <si>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</si>
  <si>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</si>
  <si>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</si>
  <si>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</si>
  <si>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</si>
  <si>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</si>
  <si>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</si>
  <si>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</si>
  <si>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</si>
  <si>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</si>
  <si>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</si>
  <si>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</si>
  <si>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</si>
  <si>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</si>
  <si>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</si>
  <si>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</si>
  <si>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</si>
  <si>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</si>
  <si>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</si>
  <si>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</si>
  <si>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</si>
  <si>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</si>
  <si>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</si>
  <si>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</si>
  <si>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</si>
  <si>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</si>
  <si>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</si>
  <si>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</si>
  <si>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</si>
  <si>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</si>
  <si>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</si>
  <si>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</si>
  <si>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</si>
  <si>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</si>
  <si>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</si>
  <si>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</si>
  <si>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</si>
  <si>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</si>
  <si>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</si>
  <si>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</si>
  <si>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</si>
  <si>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</si>
  <si>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</si>
  <si>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</si>
  <si>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</si>
  <si>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</si>
  <si>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</si>
  <si>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</si>
  <si>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</si>
  <si>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</si>
  <si>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</si>
  <si>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</si>
  <si>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</si>
  <si>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</si>
  <si>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</si>
  <si>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</si>
  <si>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</si>
  <si>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</si>
  <si>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</si>
  <si>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</si>
  <si>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</si>
  <si>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</si>
  <si>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</si>
  <si>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</si>
  <si>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</si>
  <si>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</si>
  <si>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</si>
  <si>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</si>
  <si>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</si>
  <si>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</si>
  <si>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</si>
  <si>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</si>
  <si>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</si>
  <si>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</si>
  <si>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</si>
  <si>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</si>
  <si>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</si>
  <si>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</si>
  <si>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</si>
  <si>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</si>
  <si>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</si>
  <si>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</si>
  <si>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</si>
  <si>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</si>
  <si>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</si>
  <si>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</si>
  <si>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</si>
  <si>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</si>
  <si>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</si>
  <si>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</si>
  <si>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</si>
  <si>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</si>
  <si>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</si>
  <si>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</si>
  <si>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</si>
  <si>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</si>
  <si>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</si>
  <si>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</si>
  <si>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</si>
  <si>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</si>
  <si>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</si>
  <si>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</si>
  <si>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</si>
  <si>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</si>
  <si>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</si>
  <si>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</si>
  <si>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</si>
  <si>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</si>
  <si>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</si>
  <si>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</si>
  <si>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</si>
  <si>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</si>
  <si>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</si>
  <si>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</si>
  <si>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</si>
  <si>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</si>
  <si>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</si>
  <si>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</si>
  <si>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</si>
  <si>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</si>
  <si>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</si>
  <si>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</si>
  <si>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</si>
  <si>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</si>
  <si>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</si>
  <si>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</si>
  <si>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</si>
  <si>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</si>
  <si>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</si>
  <si>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</si>
  <si>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</si>
  <si>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</si>
  <si>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</si>
  <si>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</si>
  <si>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</si>
  <si>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</si>
  <si>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</si>
  <si>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</si>
  <si>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</si>
  <si>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</si>
  <si>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</si>
  <si>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</si>
  <si>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</si>
  <si>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</si>
  <si>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</si>
  <si>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</si>
  <si>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</si>
  <si>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</si>
  <si>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</si>
  <si>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</si>
  <si>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</si>
  <si>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</si>
  <si>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</si>
  <si>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</si>
  <si>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</si>
  <si>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</si>
  <si>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</si>
  <si>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</si>
  <si>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</si>
  <si>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</si>
  <si>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</si>
  <si>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</si>
  <si>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</si>
  <si>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</si>
  <si>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</si>
  <si>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</si>
  <si>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</si>
  <si>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</si>
  <si>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</si>
  <si>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</si>
  <si>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</si>
  <si>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</si>
  <si>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</si>
  <si>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</si>
  <si>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</si>
  <si>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</si>
  <si>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</si>
  <si>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</si>
  <si>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</si>
  <si>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</si>
  <si>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</si>
  <si>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</si>
  <si>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</si>
  <si>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</si>
  <si>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</si>
  <si>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</si>
  <si>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</si>
  <si>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</si>
  <si>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</si>
  <si>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</si>
  <si>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</si>
  <si>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</si>
  <si>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</si>
  <si>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</si>
  <si>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</si>
  <si>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</si>
  <si>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</si>
  <si>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</si>
  <si>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</si>
  <si>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</si>
  <si>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</si>
  <si>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</si>
  <si>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</si>
  <si>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</si>
  <si>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</si>
  <si>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</si>
  <si>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</si>
  <si>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</si>
  <si>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</si>
  <si>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</si>
  <si>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</si>
  <si>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</si>
  <si>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</si>
  <si>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</si>
  <si>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</si>
  <si>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</si>
  <si>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</si>
  <si>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</si>
  <si>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</si>
  <si>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</si>
  <si>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</si>
  <si>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</si>
  <si>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</si>
  <si>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</si>
  <si>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</si>
  <si>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</si>
  <si>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</si>
  <si>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</si>
  <si>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</si>
  <si>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</si>
  <si>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</si>
  <si>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</si>
  <si>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</si>
  <si>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</si>
  <si>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</si>
  <si>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</si>
  <si>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</si>
  <si>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</si>
  <si>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</si>
  <si>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</si>
  <si>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</si>
  <si>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</si>
  <si>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</si>
  <si>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</si>
  <si>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</si>
  <si>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</si>
  <si>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</si>
  <si>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</si>
  <si>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</si>
  <si>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</si>
  <si>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</si>
  <si>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</si>
  <si>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</si>
  <si>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</si>
  <si>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</si>
  <si>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</si>
  <si>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</si>
  <si>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</si>
  <si>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</si>
  <si>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</si>
  <si>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</si>
  <si>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</si>
  <si>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</si>
  <si>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</si>
  <si>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</si>
  <si>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</si>
  <si>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</si>
  <si>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</si>
  <si>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</si>
  <si>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</si>
  <si>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</si>
  <si>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</si>
  <si>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</si>
  <si>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</si>
  <si>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</si>
  <si>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</si>
  <si>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</si>
  <si>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</si>
  <si>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</si>
  <si>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</si>
  <si>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</si>
  <si>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</si>
  <si>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</si>
  <si>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</si>
  <si>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</si>
  <si>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</si>
  <si>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</si>
  <si>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</si>
  <si>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</si>
  <si>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</si>
  <si>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</si>
  <si>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</si>
  <si>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</si>
  <si>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</si>
  <si>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</si>
  <si>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</si>
  <si>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</si>
  <si>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</si>
  <si>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</si>
  <si>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</si>
  <si>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</si>
  <si>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</si>
  <si>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</si>
  <si>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</si>
  <si>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</si>
  <si>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</si>
  <si>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</si>
  <si>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</si>
  <si>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</si>
  <si>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</si>
  <si>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</si>
  <si>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</si>
  <si>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</si>
  <si>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</si>
  <si>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</si>
  <si>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</si>
  <si>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</si>
  <si>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</si>
  <si>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</si>
  <si>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</si>
  <si>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</si>
  <si>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</si>
  <si>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</si>
  <si>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</si>
  <si>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</si>
  <si>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</si>
  <si>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</si>
  <si>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</si>
  <si>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</si>
  <si>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</si>
  <si>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</si>
  <si>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</si>
  <si>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</si>
  <si>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</si>
  <si>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</si>
  <si>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</si>
  <si>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</si>
  <si>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</si>
  <si>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</si>
  <si>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</si>
  <si>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</si>
  <si>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</si>
  <si>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</si>
  <si>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</si>
  <si>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</si>
  <si>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</si>
  <si>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</si>
  <si>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</si>
  <si>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</si>
  <si>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</si>
  <si>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</si>
  <si>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</si>
  <si>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</si>
  <si>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</si>
  <si>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</si>
  <si>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</si>
  <si>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</si>
  <si>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</si>
  <si>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</si>
  <si>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</si>
  <si>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</si>
  <si>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</si>
  <si>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</si>
  <si>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</si>
  <si>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</si>
  <si>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</si>
  <si>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</si>
  <si>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</si>
  <si>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</si>
  <si>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</si>
  <si>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</si>
  <si>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</si>
  <si>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</si>
  <si>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</si>
  <si>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</si>
  <si>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</si>
  <si>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</si>
  <si>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</si>
  <si>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</si>
  <si>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</si>
  <si>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</si>
  <si>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</si>
  <si>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</si>
  <si>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</si>
  <si>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</si>
  <si>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</si>
  <si>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</si>
  <si>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</si>
  <si>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</si>
  <si>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</si>
  <si>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</si>
  <si>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</si>
  <si>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</si>
  <si>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</si>
  <si>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</si>
  <si>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</si>
  <si>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</si>
  <si>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</si>
  <si>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</si>
  <si>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</si>
  <si>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</si>
  <si>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</si>
  <si>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</si>
  <si>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</si>
  <si>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</si>
  <si>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</si>
  <si>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</si>
  <si>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</si>
  <si>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</si>
  <si>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</si>
  <si>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</si>
  <si>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</si>
  <si>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</si>
  <si>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</si>
  <si>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</si>
  <si>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</si>
  <si>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</si>
  <si>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</si>
  <si>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</si>
  <si>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</si>
  <si>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</si>
  <si>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</si>
  <si>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</si>
  <si>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</si>
  <si>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</si>
  <si>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</si>
  <si>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</si>
  <si>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</si>
  <si>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</si>
  <si>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</si>
  <si>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</si>
  <si>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</si>
  <si>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</si>
  <si>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</si>
  <si>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</si>
  <si>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</si>
  <si>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</si>
  <si>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</si>
  <si>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</si>
  <si>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</si>
  <si>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</si>
  <si>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</si>
  <si>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</si>
  <si>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</si>
  <si>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</si>
  <si>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</si>
  <si>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</si>
  <si>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</si>
  <si>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</si>
  <si>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</si>
  <si>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</si>
  <si>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</si>
  <si>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</si>
  <si>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</si>
  <si>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</si>
  <si>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</si>
  <si>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</si>
  <si>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</si>
  <si>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</si>
  <si>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</si>
  <si>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</si>
  <si>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</si>
  <si>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</si>
  <si>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</si>
  <si>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</si>
  <si>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</si>
  <si>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</si>
  <si>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</si>
  <si>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</si>
  <si>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</si>
  <si>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</si>
  <si>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</si>
  <si>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</si>
  <si>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</si>
  <si>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</si>
  <si>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</si>
  <si>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</si>
  <si>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</si>
  <si>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</si>
  <si>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</si>
  <si>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</si>
  <si>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</si>
  <si>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</si>
  <si>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</si>
  <si>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</si>
  <si>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</si>
  <si>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</si>
  <si>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</si>
  <si>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</si>
  <si>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</si>
  <si>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</si>
  <si>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</si>
  <si>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</si>
  <si>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</si>
  <si>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</si>
  <si>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</si>
  <si>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</si>
  <si>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</si>
  <si>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</si>
  <si>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</si>
  <si>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</si>
  <si>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</si>
  <si>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</si>
  <si>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</si>
  <si>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</si>
  <si>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</si>
  <si>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</si>
  <si>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</si>
  <si>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</si>
  <si>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</si>
  <si>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</si>
  <si>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</si>
  <si>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</si>
  <si>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</si>
  <si>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</si>
  <si>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</si>
  <si>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</si>
  <si>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</si>
  <si>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</si>
  <si>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</si>
  <si>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</si>
  <si>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</si>
  <si>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</si>
  <si>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</si>
  <si>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</si>
  <si>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</si>
  <si>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</si>
  <si>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</si>
  <si>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</si>
  <si>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</si>
  <si>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</si>
  <si>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</si>
  <si>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</si>
  <si>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</si>
  <si>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</si>
  <si>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</si>
  <si>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</si>
  <si>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</si>
  <si>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</si>
  <si>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</si>
  <si>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</si>
  <si>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</si>
  <si>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</si>
  <si>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</si>
  <si>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</si>
  <si>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</si>
  <si>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</si>
  <si>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</si>
  <si>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</si>
  <si>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</si>
  <si>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</si>
  <si>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</si>
  <si>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</si>
  <si>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</si>
  <si>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</si>
  <si>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</si>
  <si>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</si>
  <si>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</si>
  <si>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</si>
  <si>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</si>
  <si>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</si>
  <si>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</si>
  <si>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</si>
  <si>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</si>
  <si>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</si>
  <si>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</si>
  <si>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</si>
  <si>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</si>
  <si>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</si>
  <si>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</si>
  <si>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</si>
  <si>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</si>
  <si>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</si>
  <si>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</si>
  <si>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</si>
  <si>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</si>
  <si>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</si>
  <si>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</si>
  <si>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</si>
  <si>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</si>
  <si>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</si>
  <si>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</si>
  <si>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</si>
  <si>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</si>
  <si>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</si>
  <si>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</si>
  <si>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</si>
  <si>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</si>
  <si>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</si>
  <si>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</si>
  <si>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</si>
  <si>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</si>
  <si>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</si>
  <si>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</si>
  <si>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</si>
  <si>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</si>
  <si>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</si>
  <si>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</si>
  <si>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</si>
  <si>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</si>
  <si>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</si>
  <si>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</si>
  <si>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</si>
  <si>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</si>
  <si>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</si>
  <si>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</si>
  <si>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</si>
  <si>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</si>
  <si>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</si>
  <si>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</si>
  <si>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</si>
  <si>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</si>
  <si>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</si>
  <si>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</si>
  <si>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</si>
  <si>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</si>
  <si>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</si>
  <si>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</si>
  <si>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</si>
  <si>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</si>
  <si>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</si>
  <si>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</si>
  <si>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</si>
  <si>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</si>
  <si>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</si>
  <si>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</si>
  <si>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</si>
  <si>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</si>
  <si>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</si>
  <si>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</si>
  <si>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</si>
  <si>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</si>
  <si>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</si>
  <si>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</si>
  <si>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</si>
  <si>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</si>
  <si>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</si>
  <si>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</si>
  <si>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</si>
  <si>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</si>
  <si>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</si>
  <si>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</si>
  <si>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</si>
  <si>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</si>
  <si>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</si>
  <si>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</si>
  <si>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</si>
  <si>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</si>
  <si>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</si>
  <si>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</si>
  <si>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</si>
  <si>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</si>
  <si>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</si>
  <si>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</si>
  <si>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</si>
  <si>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</si>
  <si>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</si>
  <si>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</si>
  <si>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</si>
  <si>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</si>
  <si>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</si>
  <si>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</si>
  <si>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</si>
  <si>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</si>
  <si>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</si>
  <si>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</si>
  <si>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</si>
  <si>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</si>
  <si>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</si>
  <si>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</si>
  <si>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</si>
  <si>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</si>
  <si>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</si>
  <si>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</si>
  <si>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</si>
  <si>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</si>
  <si>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</si>
  <si>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</si>
  <si>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</si>
  <si>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</si>
  <si>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</si>
  <si>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</si>
  <si>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</si>
  <si>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</si>
  <si>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</si>
  <si>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</si>
  <si>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</si>
  <si>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</si>
  <si>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</si>
  <si>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</si>
  <si>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</si>
  <si>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</si>
  <si>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</si>
  <si>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</si>
  <si>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</si>
  <si>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</si>
  <si>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</si>
  <si>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</si>
  <si>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</si>
  <si>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</si>
  <si>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</si>
  <si>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</si>
  <si>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</si>
  <si>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</si>
  <si>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</si>
  <si>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</si>
  <si>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</si>
  <si>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</si>
  <si>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</si>
  <si>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</si>
  <si>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</si>
  <si>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</si>
  <si>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</si>
  <si>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</si>
  <si>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</si>
  <si>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</si>
  <si>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</si>
  <si>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</si>
  <si>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</si>
  <si>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</si>
  <si>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</si>
  <si>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</si>
  <si>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</si>
  <si>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</si>
  <si>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</si>
  <si>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</si>
  <si>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</si>
  <si>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</si>
  <si>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</si>
  <si>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</si>
  <si>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</si>
  <si>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</si>
  <si>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</si>
  <si>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</si>
  <si>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</si>
  <si>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</si>
  <si>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</si>
  <si>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</si>
  <si>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</si>
  <si>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</si>
  <si>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</si>
  <si>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</si>
  <si>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</si>
  <si>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</si>
  <si>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</si>
  <si>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</si>
  <si>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</si>
  <si>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</si>
  <si>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</si>
  <si>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</si>
  <si>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</si>
  <si>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</si>
  <si>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</si>
  <si>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</si>
  <si>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</si>
  <si>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</si>
  <si>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</si>
  <si>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</si>
  <si>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</si>
  <si>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</si>
  <si>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</si>
  <si>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</si>
  <si>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</si>
  <si>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</si>
  <si>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</si>
  <si>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</si>
  <si>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</si>
  <si>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</si>
  <si>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</si>
  <si>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</si>
  <si>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</si>
  <si>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</si>
  <si>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</si>
  <si>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</si>
  <si>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</si>
  <si>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</si>
  <si>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</si>
  <si>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</si>
  <si>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</si>
  <si>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</si>
  <si>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</si>
  <si>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</si>
  <si>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</si>
  <si>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</si>
  <si>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</si>
  <si>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</si>
  <si>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</si>
  <si>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</si>
  <si>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</si>
  <si>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</si>
  <si>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</si>
  <si>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</si>
  <si>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</si>
  <si>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</si>
  <si>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</si>
  <si>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</si>
  <si>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</si>
  <si>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</si>
  <si>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</si>
  <si>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</si>
  <si>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</si>
  <si>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</si>
  <si>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</si>
  <si>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</si>
  <si>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</si>
  <si>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</si>
  <si>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</si>
  <si>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</si>
  <si>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</si>
  <si>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</si>
  <si>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</si>
  <si>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</si>
  <si>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</si>
  <si>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</si>
  <si>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</si>
  <si>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</si>
  <si>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</si>
  <si>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</si>
  <si>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</si>
  <si>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</si>
  <si>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</si>
  <si>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</si>
  <si>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</si>
  <si>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</si>
  <si>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</si>
  <si>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</si>
  <si>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</si>
  <si>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</si>
  <si>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</si>
  <si>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</si>
  <si>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</si>
  <si>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</si>
  <si>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</si>
  <si>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</si>
  <si>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</si>
  <si>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</si>
  <si>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</si>
  <si>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</si>
  <si>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</si>
  <si>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</si>
  <si>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</si>
  <si>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</si>
  <si>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</si>
  <si>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</si>
  <si>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</si>
  <si>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</si>
  <si>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</si>
  <si>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</si>
  <si>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</si>
  <si>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</si>
  <si>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</si>
  <si>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</si>
  <si>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</si>
  <si>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</si>
  <si>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</si>
  <si>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</si>
  <si>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</si>
  <si>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</si>
  <si>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</si>
  <si>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</si>
  <si>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</si>
  <si>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</si>
  <si>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</si>
  <si>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</si>
  <si>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</si>
  <si>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</si>
  <si>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</si>
  <si>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</si>
  <si>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</si>
  <si>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</si>
  <si>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</si>
  <si>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</si>
  <si>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</si>
  <si>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</si>
  <si>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</si>
  <si>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</si>
  <si>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</si>
  <si>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</si>
  <si>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</si>
  <si>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</si>
  <si>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</si>
  <si>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</si>
  <si>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</si>
  <si>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</si>
  <si>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</si>
  <si>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</si>
  <si>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</si>
  <si>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</si>
  <si>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</si>
  <si>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</si>
  <si>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</si>
  <si>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</si>
  <si>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</si>
  <si>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</si>
  <si>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</si>
  <si>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</si>
  <si>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</si>
  <si>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</si>
  <si>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</si>
  <si>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</si>
  <si>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</si>
  <si>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</si>
  <si>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</si>
  <si>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</si>
  <si>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</si>
  <si>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</si>
  <si>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</si>
  <si>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</si>
  <si>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</si>
  <si>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</si>
  <si>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</si>
  <si>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</si>
  <si>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</si>
  <si>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</si>
  <si>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</si>
  <si>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</si>
  <si>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</si>
  <si>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</si>
  <si>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</si>
  <si>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</si>
  <si>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</si>
  <si>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</si>
  <si>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</si>
  <si>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</si>
  <si>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</si>
  <si>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</si>
  <si>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</si>
  <si>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</si>
  <si>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</si>
  <si>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</si>
  <si>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</si>
  <si>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</si>
  <si>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</si>
  <si>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</si>
  <si>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</si>
  <si>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</si>
  <si>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</si>
  <si>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</si>
  <si>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</si>
  <si>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</si>
  <si>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</si>
  <si>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</si>
  <si>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</si>
  <si>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</si>
  <si>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</si>
  <si>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</si>
  <si>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</si>
  <si>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</si>
  <si>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</si>
  <si>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</si>
  <si>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</si>
  <si>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</si>
  <si>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</si>
  <si>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</si>
  <si>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</si>
  <si>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</si>
  <si>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</si>
  <si>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</si>
  <si>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</si>
  <si>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</si>
  <si>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</si>
  <si>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</si>
  <si>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</si>
  <si>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</si>
  <si>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</si>
  <si>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</si>
  <si>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</si>
  <si>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</si>
  <si>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</si>
  <si>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</si>
  <si>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</si>
  <si>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</si>
  <si>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</si>
  <si>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</si>
  <si>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</si>
  <si>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</si>
  <si>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</si>
  <si>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</si>
  <si>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</si>
  <si>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</si>
  <si>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</si>
  <si>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</si>
  <si>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</si>
  <si>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</si>
  <si>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</si>
  <si>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</si>
  <si>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</si>
  <si>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</si>
  <si>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</si>
  <si>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</si>
  <si>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</si>
  <si>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</si>
  <si>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</si>
  <si>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</si>
  <si>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</si>
  <si>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</si>
  <si>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</si>
  <si>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</si>
  <si>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</si>
  <si>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</si>
  <si>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</si>
  <si>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</si>
  <si>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</si>
  <si>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</si>
  <si>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</si>
  <si>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</si>
  <si>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</si>
  <si>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</si>
  <si>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</si>
  <si>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</si>
  <si>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</si>
  <si>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</si>
  <si>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</si>
  <si>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</si>
  <si>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</si>
  <si>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</si>
  <si>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</si>
  <si>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</si>
  <si>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</si>
  <si>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</si>
  <si>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</si>
  <si>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</si>
  <si>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</si>
  <si>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</si>
  <si>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</si>
  <si>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</si>
  <si>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</si>
  <si>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</si>
  <si>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</si>
  <si>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</si>
  <si>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</si>
  <si>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</si>
  <si>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</si>
  <si>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</si>
  <si>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</si>
  <si>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</si>
  <si>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</si>
  <si>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</si>
  <si>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</si>
  <si>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</si>
  <si>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</si>
  <si>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</si>
  <si>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</si>
  <si>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</si>
  <si>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</si>
  <si>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</si>
  <si>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</si>
  <si>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</si>
  <si>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</si>
  <si>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</si>
  <si>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</si>
  <si>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</si>
  <si>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</si>
  <si>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</si>
  <si>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</si>
  <si>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</si>
  <si>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</si>
  <si>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</si>
  <si>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</si>
  <si>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</si>
  <si>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</si>
  <si>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</si>
  <si>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</si>
  <si>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</si>
  <si>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</si>
  <si>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</si>
  <si>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</si>
  <si>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</si>
  <si>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</si>
  <si>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</si>
  <si>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</si>
  <si>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</si>
  <si>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</si>
  <si>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</si>
  <si>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</si>
  <si>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</si>
  <si>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</si>
  <si>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</si>
  <si>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</si>
  <si>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</si>
  <si>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</si>
  <si>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</si>
  <si>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</si>
  <si>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</si>
  <si>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</si>
  <si>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</si>
  <si>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</si>
  <si>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</si>
  <si>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</si>
  <si>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</si>
  <si>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</si>
  <si>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</si>
  <si>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</si>
  <si>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</si>
  <si>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</si>
  <si>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</si>
  <si>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</si>
  <si>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</si>
  <si>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</si>
  <si>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</si>
  <si>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</si>
  <si>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</si>
  <si>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</si>
  <si>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</si>
  <si>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</si>
  <si>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</si>
  <si>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</si>
  <si>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</si>
  <si>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</si>
  <si>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</si>
  <si>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</si>
  <si>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</si>
  <si>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</si>
  <si>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</si>
  <si>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</si>
  <si>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</si>
  <si>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</si>
  <si>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</si>
  <si>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</si>
  <si>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</si>
  <si>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</si>
  <si>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</si>
  <si>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</si>
  <si>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</si>
  <si>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</si>
  <si>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</si>
  <si>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</si>
  <si>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</si>
  <si>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</si>
  <si>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</si>
  <si>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</si>
  <si>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</si>
  <si>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</si>
  <si>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</si>
  <si>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</si>
  <si>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</si>
  <si>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</si>
  <si>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</si>
  <si>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</si>
  <si>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</si>
  <si>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</si>
  <si>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</si>
  <si>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</si>
  <si>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</si>
  <si>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</si>
  <si>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</si>
  <si>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</si>
  <si>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</si>
  <si>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</si>
  <si>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</si>
  <si>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</si>
  <si>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</si>
  <si>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</si>
  <si>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</si>
  <si>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</si>
  <si>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</si>
  <si>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</si>
  <si>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</si>
  <si>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</si>
  <si>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</si>
  <si>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</si>
  <si>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</si>
  <si>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</si>
  <si>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</si>
  <si>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</si>
  <si>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</si>
  <si>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</si>
  <si>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</si>
  <si>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</si>
  <si>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</si>
  <si>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</si>
  <si>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</si>
  <si>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</si>
  <si>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</si>
  <si>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</si>
  <si>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</si>
  <si>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</si>
  <si>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</si>
  <si>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</si>
  <si>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</si>
  <si>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</si>
  <si>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</si>
  <si>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</si>
  <si>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</si>
  <si>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</si>
  <si>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</si>
  <si>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</si>
  <si>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</si>
  <si>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</si>
  <si>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</si>
  <si>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</si>
  <si>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</si>
  <si>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</si>
  <si>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</si>
  <si>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</si>
  <si>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</si>
  <si>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</si>
  <si>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</si>
  <si>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</si>
  <si>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</si>
  <si>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</si>
  <si>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</si>
  <si>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</si>
  <si>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</si>
  <si>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</si>
  <si>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</si>
  <si>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</si>
  <si>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</si>
  <si>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</si>
  <si>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</si>
  <si>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</si>
  <si>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</si>
  <si>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</si>
  <si>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</si>
  <si>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</si>
  <si>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</si>
  <si>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</si>
  <si>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</si>
  <si>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</si>
  <si>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</si>
  <si>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</si>
  <si>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</si>
  <si>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</si>
  <si>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</si>
  <si>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</si>
  <si>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</si>
  <si>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</si>
  <si>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</si>
  <si>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</si>
  <si>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</si>
  <si>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</si>
  <si>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</si>
  <si>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</si>
  <si>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</si>
  <si>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</si>
  <si>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</si>
  <si>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</si>
  <si>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</si>
  <si>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</si>
  <si>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</si>
  <si>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</si>
  <si>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</si>
  <si>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</si>
  <si>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</si>
  <si>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</si>
  <si>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</si>
  <si>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</si>
  <si>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</si>
  <si>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</si>
  <si>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</si>
  <si>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</si>
  <si>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</si>
  <si>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</si>
  <si>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</si>
  <si>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</si>
  <si>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</si>
  <si>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</si>
  <si>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</si>
  <si>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</si>
  <si>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</si>
  <si>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</si>
  <si>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</si>
  <si>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</si>
  <si>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</si>
  <si>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</si>
  <si>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</si>
  <si>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</si>
  <si>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</si>
  <si>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</si>
  <si>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</si>
  <si>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</si>
  <si>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</si>
  <si>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</si>
  <si>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</si>
  <si>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</si>
  <si>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</si>
  <si>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</si>
  <si>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</si>
  <si>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</si>
  <si>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</si>
  <si>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</si>
  <si>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</si>
  <si>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</si>
  <si>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</si>
  <si>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</si>
  <si>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</si>
  <si>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</si>
  <si>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</si>
  <si>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</si>
  <si>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</si>
  <si>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</si>
  <si>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</si>
  <si>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</si>
  <si>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</si>
  <si>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</si>
  <si>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</si>
  <si>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</si>
  <si>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</si>
  <si>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</si>
  <si>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</si>
  <si>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</si>
  <si>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</si>
  <si>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</si>
  <si>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</si>
  <si>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</si>
  <si>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</si>
  <si>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</si>
  <si>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</si>
  <si>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</si>
  <si>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</si>
  <si>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</si>
  <si>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</si>
  <si>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</si>
  <si>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</si>
  <si>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</si>
  <si>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</si>
  <si>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</si>
  <si>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</si>
  <si>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</si>
  <si>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</si>
  <si>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</si>
  <si>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</si>
  <si>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</si>
  <si>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</si>
  <si>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</si>
  <si>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</si>
  <si>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</si>
  <si>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</si>
  <si>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</si>
  <si>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</si>
  <si>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</si>
  <si>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</si>
  <si>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</si>
  <si>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</si>
  <si>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</si>
  <si>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</si>
  <si>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</si>
  <si>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</si>
  <si>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</si>
  <si>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</si>
  <si>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</si>
  <si>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</si>
  <si>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</si>
  <si>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</si>
  <si>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</si>
  <si>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</si>
  <si>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</si>
  <si>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</si>
  <si>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</si>
  <si>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</si>
  <si>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</si>
  <si>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</si>
  <si>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</si>
  <si>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</si>
  <si>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</si>
  <si>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</si>
  <si>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</si>
  <si>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</si>
  <si>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</si>
  <si>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</si>
  <si>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</si>
  <si>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</si>
  <si>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</si>
  <si>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</si>
  <si>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</si>
  <si>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</si>
  <si>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</si>
  <si>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</si>
  <si>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</si>
  <si>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</si>
  <si>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</si>
  <si>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</si>
  <si>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</si>
  <si>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</si>
  <si>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</si>
  <si>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</si>
  <si>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</si>
  <si>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</si>
  <si>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</si>
  <si>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</si>
  <si>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</si>
  <si>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</si>
  <si>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</si>
  <si>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</si>
  <si>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</si>
  <si>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</si>
  <si>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</si>
  <si>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</si>
  <si>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</si>
  <si>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</si>
  <si>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</si>
  <si>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</si>
  <si>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</si>
  <si>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</si>
  <si>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</si>
  <si>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</si>
  <si>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</si>
  <si>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</si>
  <si>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</si>
  <si>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</si>
  <si>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</si>
  <si>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</si>
  <si>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</si>
  <si>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</si>
  <si>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</si>
  <si>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</si>
  <si>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</si>
  <si>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</si>
  <si>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</si>
  <si>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</si>
  <si>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</si>
  <si>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</si>
  <si>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</si>
  <si>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</si>
  <si>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</si>
  <si>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</si>
  <si>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</si>
  <si>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</si>
  <si>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</si>
  <si>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</si>
  <si>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</si>
  <si>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</si>
  <si>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</si>
  <si>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</si>
  <si>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</si>
  <si>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</si>
  <si>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</si>
  <si>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</si>
  <si>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</si>
  <si>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</si>
  <si>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</si>
  <si>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</si>
  <si>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</si>
  <si>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</si>
  <si>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</si>
  <si>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</si>
  <si>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</si>
  <si>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</si>
  <si>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</si>
  <si>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</si>
  <si>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</si>
  <si>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</si>
  <si>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</si>
  <si>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</si>
  <si>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</si>
  <si>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</si>
  <si>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</si>
  <si>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</si>
  <si>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</si>
  <si>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</si>
  <si>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</si>
  <si>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</si>
  <si>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</si>
  <si>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</si>
  <si>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</si>
  <si>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</si>
  <si>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</si>
  <si>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</si>
  <si>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</si>
  <si>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</si>
  <si>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</si>
  <si>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</si>
  <si>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</si>
  <si>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</si>
  <si>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</si>
  <si>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</si>
  <si>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</si>
  <si>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</si>
  <si>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</si>
  <si>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</si>
  <si>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</si>
  <si>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</si>
  <si>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</si>
  <si>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</si>
  <si>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</si>
  <si>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</si>
  <si>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</si>
  <si>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</si>
  <si>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</si>
  <si>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</si>
  <si>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</si>
  <si>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</si>
  <si>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</si>
  <si>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</si>
  <si>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</si>
  <si>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</si>
  <si>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</si>
  <si>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</si>
  <si>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</si>
  <si>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</si>
  <si>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</si>
  <si>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</si>
  <si>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</si>
  <si>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</si>
  <si>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</si>
  <si>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</si>
  <si>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</si>
  <si>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</si>
  <si>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</si>
  <si>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</si>
  <si>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</si>
  <si>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</si>
  <si>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</si>
  <si>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</si>
  <si>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</si>
  <si>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</si>
  <si>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</si>
  <si>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</si>
  <si>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</si>
  <si>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</si>
  <si>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</si>
  <si>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</si>
  <si>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</si>
  <si>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</si>
  <si>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</si>
  <si>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</si>
  <si>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</si>
  <si>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</si>
  <si>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</si>
  <si>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</si>
  <si>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</si>
  <si>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</si>
  <si>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</si>
  <si>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</si>
  <si>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</si>
  <si>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</si>
  <si>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</si>
  <si>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</si>
  <si>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</si>
  <si>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</si>
  <si>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</si>
  <si>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</si>
  <si>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</si>
  <si>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</si>
  <si>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</si>
  <si>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</si>
  <si>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</si>
  <si>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</si>
  <si>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</si>
  <si>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</si>
  <si>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</si>
  <si>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</si>
  <si>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</si>
  <si>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</si>
  <si>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</si>
  <si>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</si>
  <si>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</si>
  <si>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</si>
  <si>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</si>
  <si>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</si>
  <si>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</si>
  <si>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</si>
  <si>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</si>
  <si>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</si>
  <si>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</si>
  <si>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</si>
  <si>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</si>
  <si>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</si>
  <si>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</si>
  <si>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</si>
  <si>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</si>
  <si>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</si>
  <si>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</si>
  <si>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</si>
  <si>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</si>
  <si>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</si>
  <si>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</si>
  <si>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</si>
  <si>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</si>
  <si>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</si>
  <si>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</si>
  <si>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</si>
  <si>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</si>
  <si>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</si>
  <si>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</si>
  <si>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</si>
  <si>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</si>
  <si>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</si>
  <si>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</si>
  <si>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</si>
  <si>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</si>
  <si>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</si>
  <si>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</si>
  <si>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</si>
  <si>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</si>
  <si>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</si>
  <si>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</si>
  <si>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</si>
  <si>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</si>
  <si>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</si>
  <si>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</si>
  <si>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</si>
  <si>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</si>
  <si>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</si>
  <si>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</si>
  <si>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</si>
  <si>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</si>
  <si>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</si>
  <si>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</si>
  <si>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</si>
  <si>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</si>
  <si>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</si>
  <si>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</si>
  <si>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</si>
  <si>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</si>
  <si>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</si>
  <si>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</si>
  <si>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</si>
  <si>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</si>
  <si>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</si>
  <si>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</si>
  <si>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</si>
  <si>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</si>
  <si>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</si>
  <si>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</si>
  <si>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</si>
  <si>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</si>
  <si>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</si>
  <si>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</si>
  <si>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</si>
  <si>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</si>
  <si>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</si>
  <si>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</si>
  <si>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</si>
  <si>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</si>
  <si>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</si>
  <si>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</si>
  <si>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</si>
  <si>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</si>
  <si>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</si>
  <si>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</si>
  <si>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</si>
  <si>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</si>
  <si>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</si>
  <si>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</si>
  <si>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</si>
  <si>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</si>
  <si>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</si>
  <si>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</si>
  <si>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</si>
  <si>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</si>
  <si>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</si>
  <si>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</si>
  <si>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</si>
  <si>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</si>
  <si>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</si>
  <si>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</si>
  <si>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</si>
  <si>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</si>
  <si>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</si>
  <si>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</si>
  <si>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</si>
  <si>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</si>
  <si>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</si>
  <si>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</si>
  <si>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</si>
  <si>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</si>
  <si>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</si>
  <si>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</si>
  <si>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</si>
  <si>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</si>
  <si>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</si>
  <si>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</si>
  <si>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</si>
  <si>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</si>
  <si>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</si>
  <si>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</si>
  <si>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</si>
  <si>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</si>
  <si>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</si>
  <si>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</si>
  <si>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</si>
  <si>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</si>
  <si>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</si>
  <si>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</si>
  <si>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</si>
  <si>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</si>
  <si>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</si>
  <si>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</si>
  <si>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</si>
  <si>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</si>
  <si>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</si>
  <si>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</si>
  <si>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</si>
  <si>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</si>
  <si>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</si>
  <si>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</si>
  <si>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</si>
  <si>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</si>
  <si>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</si>
  <si>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</si>
  <si>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</si>
  <si>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</si>
  <si>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</si>
  <si>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</si>
  <si>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</si>
  <si>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</si>
  <si>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</si>
  <si>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</si>
  <si>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</si>
  <si>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</si>
  <si>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</si>
  <si>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</si>
  <si>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</si>
  <si>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</si>
  <si>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</si>
  <si>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</si>
  <si>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</si>
  <si>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</si>
  <si>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</si>
  <si>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</si>
  <si>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</si>
  <si>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</si>
  <si>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</si>
  <si>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</si>
  <si>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</si>
  <si>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</si>
  <si>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</si>
  <si>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</si>
  <si>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</si>
  <si>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</si>
  <si>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</si>
  <si>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</si>
  <si>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</si>
  <si>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</si>
  <si>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</si>
  <si>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</si>
  <si>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</si>
  <si>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</si>
  <si>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</si>
  <si>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</si>
  <si>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</si>
  <si>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</si>
  <si>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</si>
  <si>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</si>
  <si>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</si>
  <si>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</si>
  <si>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</si>
  <si>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</si>
  <si>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</si>
  <si>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</si>
  <si>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</si>
  <si>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</si>
  <si>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</si>
  <si>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</si>
  <si>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</si>
  <si>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</si>
  <si>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</si>
  <si>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</si>
  <si>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</si>
  <si>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</si>
  <si>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</si>
  <si>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</si>
  <si>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</si>
  <si>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</si>
  <si>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</si>
  <si>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</si>
  <si>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</si>
  <si>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</si>
  <si>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</si>
  <si>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</si>
  <si>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</si>
  <si>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</si>
  <si>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</si>
  <si>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</si>
  <si>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</si>
  <si>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</si>
  <si>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</si>
  <si>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</si>
  <si>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</si>
  <si>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</si>
  <si>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</si>
  <si>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</si>
  <si>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</si>
  <si>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</si>
  <si>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</si>
  <si>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</si>
  <si>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</si>
  <si>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</si>
  <si>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</si>
  <si>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</si>
  <si>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</si>
  <si>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</si>
  <si>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</si>
  <si>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</si>
  <si>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</si>
  <si>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</si>
  <si>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</si>
  <si>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</si>
  <si>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</si>
  <si>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</si>
  <si>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</si>
  <si>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</si>
  <si>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</si>
  <si>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</si>
  <si>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</si>
  <si>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</si>
  <si>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</si>
  <si>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</si>
  <si>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</si>
  <si>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</si>
  <si>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</si>
  <si>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</si>
  <si>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</si>
  <si>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</si>
  <si>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</si>
  <si>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</si>
  <si>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</si>
  <si>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</si>
  <si>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</si>
  <si>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</si>
  <si>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</si>
  <si>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</si>
  <si>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</si>
  <si>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</si>
  <si>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</si>
  <si>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</si>
  <si>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</si>
  <si>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</si>
  <si>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</si>
  <si>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</si>
  <si>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</si>
  <si>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</si>
  <si>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</si>
  <si>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</si>
  <si>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</si>
  <si>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</si>
  <si>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</si>
  <si>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</si>
  <si>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</si>
  <si>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</si>
  <si>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</si>
  <si>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</si>
  <si>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</si>
  <si>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</si>
  <si>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</si>
  <si>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</si>
  <si>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</si>
  <si>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</si>
  <si>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</si>
  <si>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</si>
  <si>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</si>
  <si>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</si>
  <si>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</si>
  <si>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</si>
  <si>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</si>
  <si>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</si>
  <si>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</si>
  <si>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</si>
  <si>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</si>
  <si>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</si>
  <si>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</si>
  <si>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</si>
  <si>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</si>
  <si>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</si>
  <si>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</si>
  <si>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</si>
  <si>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</si>
  <si>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</si>
  <si>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</si>
  <si>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</si>
  <si>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</si>
  <si>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</si>
  <si>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</si>
  <si>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</si>
  <si>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</si>
  <si>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</si>
  <si>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</si>
  <si>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</si>
  <si>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</si>
  <si>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</si>
  <si>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</si>
  <si>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</si>
  <si>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</si>
  <si>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</si>
  <si>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</si>
  <si>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</si>
  <si>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</si>
  <si>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</si>
  <si>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</si>
  <si>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</si>
  <si>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</si>
  <si>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</si>
  <si>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</si>
  <si>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</si>
  <si>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</si>
  <si>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</si>
  <si>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</si>
  <si>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</si>
  <si>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</si>
  <si>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</si>
  <si>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</si>
  <si>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</si>
  <si>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</si>
  <si>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</si>
  <si>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</si>
  <si>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</si>
  <si>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</si>
  <si>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</si>
  <si>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</si>
  <si>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</si>
  <si>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</si>
  <si>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</si>
  <si>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</si>
  <si>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</si>
  <si>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</si>
  <si>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</si>
  <si>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</si>
  <si>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</si>
  <si>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</si>
  <si>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</si>
  <si>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</si>
  <si>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</si>
  <si>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</si>
  <si>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</si>
  <si>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</si>
  <si>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</si>
  <si>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</si>
  <si>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</si>
  <si>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</si>
  <si>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</si>
  <si>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</si>
  <si>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</si>
  <si>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</si>
  <si>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</si>
  <si>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</si>
  <si>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</si>
  <si>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</si>
  <si>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</si>
  <si>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</si>
  <si>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</si>
  <si>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</si>
  <si>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</si>
  <si>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</si>
  <si>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</si>
  <si>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</si>
  <si>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</si>
  <si>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</si>
  <si>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</si>
  <si>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</si>
  <si>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</si>
  <si>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</si>
  <si>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</si>
  <si>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</si>
  <si>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</si>
  <si>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</si>
  <si>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</si>
  <si>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</si>
  <si>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</si>
  <si>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</si>
  <si>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</si>
  <si>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</si>
  <si>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</si>
  <si>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</si>
  <si>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</si>
  <si>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</si>
  <si>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</si>
  <si>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</si>
  <si>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</si>
  <si>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</si>
  <si>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</si>
  <si>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</si>
  <si>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</si>
  <si>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</si>
  <si>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</si>
  <si>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</si>
  <si>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</si>
  <si>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</si>
  <si>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</si>
  <si>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</si>
  <si>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</si>
  <si>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</si>
  <si>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</si>
  <si>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</si>
  <si>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</si>
  <si>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</si>
  <si>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</si>
  <si>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</si>
  <si>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</si>
  <si>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</si>
  <si>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</si>
  <si>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</si>
  <si>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</si>
  <si>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</si>
  <si>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</si>
  <si>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</si>
  <si>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</si>
  <si>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</si>
  <si>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</si>
  <si>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</si>
  <si>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</si>
  <si>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</si>
  <si>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</si>
  <si>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</si>
  <si>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</si>
  <si>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</si>
  <si>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</si>
  <si>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</si>
  <si>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</si>
  <si>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</si>
  <si>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</si>
  <si>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</si>
  <si>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</si>
  <si>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</si>
  <si>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</si>
  <si>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</si>
  <si>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</si>
  <si>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</si>
  <si>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</si>
  <si>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</si>
  <si>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</si>
  <si>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</si>
  <si>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</si>
  <si>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</si>
  <si>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</si>
  <si>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</si>
  <si>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</si>
  <si>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</si>
  <si>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</si>
  <si>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</si>
  <si>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</si>
  <si>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</si>
  <si>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</si>
  <si>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</si>
  <si>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</si>
  <si>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</si>
  <si>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</si>
  <si>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</si>
  <si>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</si>
  <si>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</si>
  <si>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</si>
  <si>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</si>
  <si>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</si>
  <si>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</si>
  <si>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</si>
  <si>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</si>
  <si>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</si>
  <si>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</si>
  <si>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</si>
  <si>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</si>
  <si>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</si>
  <si>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</si>
  <si>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</si>
  <si>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</si>
  <si>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</si>
  <si>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</si>
  <si>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</si>
  <si>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</si>
  <si>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</si>
  <si>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</si>
  <si>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</si>
  <si>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</si>
  <si>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</si>
  <si>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</si>
  <si>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</si>
  <si>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</si>
  <si>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</si>
  <si>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</si>
  <si>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</si>
  <si>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</si>
  <si>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</si>
  <si>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</si>
  <si>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</si>
  <si>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</si>
  <si>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</si>
  <si>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</si>
  <si>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</si>
  <si>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</si>
  <si>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</si>
  <si>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</si>
  <si>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</si>
  <si>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</si>
  <si>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</si>
  <si>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</si>
  <si>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</si>
  <si>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</si>
  <si>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</si>
  <si>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</si>
  <si>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</si>
  <si>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</si>
  <si>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</si>
  <si>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</si>
  <si>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</si>
  <si>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</si>
  <si>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</si>
  <si>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</si>
  <si>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</si>
  <si>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</si>
  <si>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</si>
  <si>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</si>
  <si>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</si>
  <si>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</si>
  <si>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</si>
  <si>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</si>
  <si>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</si>
  <si>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</si>
  <si>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</si>
  <si>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</si>
  <si>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</si>
  <si>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</si>
  <si>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</si>
  <si>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</si>
  <si>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</si>
  <si>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</si>
  <si>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</si>
  <si>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</si>
  <si>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</si>
  <si>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</si>
  <si>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</si>
  <si>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</si>
  <si>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</si>
  <si>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</si>
  <si>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</si>
  <si>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</si>
  <si>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</si>
  <si>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</si>
  <si>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</si>
  <si>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</si>
  <si>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</si>
  <si>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</si>
  <si>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</si>
  <si>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</si>
  <si>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</si>
  <si>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</si>
  <si>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</si>
  <si>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</si>
  <si>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</si>
  <si>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</si>
  <si>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</si>
  <si>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</si>
  <si>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</si>
  <si>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</si>
  <si>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</si>
  <si>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</si>
  <si>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</si>
  <si>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</si>
  <si>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</si>
  <si>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</si>
  <si>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</si>
  <si>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</si>
  <si>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</si>
  <si>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</si>
  <si>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</si>
  <si>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</si>
  <si>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</si>
  <si>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</si>
  <si>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</si>
  <si>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</si>
  <si>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</si>
  <si>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</si>
  <si>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</si>
  <si>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</si>
  <si>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</si>
  <si>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</si>
  <si>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</si>
  <si>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</si>
  <si>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</si>
  <si>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</si>
  <si>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</si>
  <si>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</si>
  <si>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</si>
  <si>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</si>
  <si>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</si>
  <si>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</si>
  <si>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</si>
  <si>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</si>
  <si>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</si>
  <si>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</si>
  <si>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</si>
  <si>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</si>
  <si>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</si>
  <si>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</si>
  <si>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</si>
  <si>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</si>
  <si>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</si>
  <si>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</si>
  <si>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</si>
  <si>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</si>
  <si>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</si>
  <si>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</si>
  <si>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</si>
  <si>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</si>
  <si>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</si>
  <si>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</si>
  <si>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</si>
  <si>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</si>
  <si>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</si>
  <si>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</si>
  <si>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</si>
  <si>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</si>
  <si>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</si>
  <si>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</si>
  <si>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</si>
  <si>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</si>
  <si>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</si>
  <si>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</si>
  <si>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</si>
  <si>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</si>
  <si>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</si>
  <si>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</si>
  <si>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</si>
  <si>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</si>
  <si>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</si>
  <si>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</si>
  <si>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</si>
  <si>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</si>
  <si>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</si>
  <si>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</si>
  <si>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</si>
  <si>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</si>
  <si>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</si>
  <si>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</si>
  <si>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</si>
  <si>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</si>
  <si>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</si>
  <si>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</si>
  <si>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</si>
  <si>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</si>
  <si>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</si>
  <si>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</si>
  <si>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</si>
  <si>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</si>
  <si>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</si>
  <si>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</si>
  <si>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</si>
  <si>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</si>
  <si>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</si>
  <si>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</si>
  <si>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</si>
  <si>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</si>
  <si>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</si>
  <si>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</si>
  <si>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</si>
  <si>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</si>
  <si>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</si>
  <si>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</si>
  <si>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</si>
  <si>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</si>
  <si>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</si>
  <si>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</si>
  <si>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</si>
  <si>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</si>
  <si>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</si>
  <si>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</si>
  <si>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</si>
  <si>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</si>
  <si>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</si>
  <si>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</si>
  <si>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</si>
  <si>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</si>
  <si>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</si>
  <si>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</si>
  <si>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</si>
  <si>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</si>
  <si>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</si>
  <si>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</si>
  <si>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</si>
  <si>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</si>
  <si>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</si>
  <si>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</si>
  <si>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</si>
  <si>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</si>
  <si>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</si>
  <si>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</si>
  <si>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</si>
  <si>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</si>
  <si>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</si>
  <si>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</si>
  <si>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</si>
  <si>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</si>
  <si>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</si>
  <si>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</si>
  <si>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</si>
  <si>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</si>
  <si>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</si>
  <si>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</si>
  <si>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</si>
  <si>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</si>
  <si>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</si>
  <si>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</si>
  <si>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</si>
  <si>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</si>
  <si>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</si>
  <si>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</si>
  <si>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</si>
  <si>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</si>
  <si>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</si>
  <si>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</si>
  <si>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</si>
  <si>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</si>
  <si>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</si>
  <si>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</si>
  <si>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</si>
  <si>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</si>
  <si>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</si>
  <si>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</si>
  <si>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</si>
  <si>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</si>
  <si>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</si>
  <si>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</si>
  <si>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</si>
  <si>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</si>
  <si>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</si>
  <si>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</si>
  <si>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</si>
  <si>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</si>
  <si>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</si>
  <si>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</si>
  <si>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</si>
  <si>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</si>
  <si>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</si>
  <si>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</si>
  <si>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</si>
  <si>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</si>
  <si>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</si>
  <si>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</si>
  <si>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</si>
  <si>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</si>
  <si>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</si>
  <si>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</si>
  <si>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</si>
  <si>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</si>
  <si>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</si>
  <si>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</si>
  <si>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</si>
  <si>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</si>
  <si>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</si>
  <si>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</si>
  <si>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</si>
  <si>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</si>
  <si>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</si>
  <si>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</si>
  <si>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</si>
  <si>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</si>
  <si>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</si>
  <si>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</si>
  <si>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</si>
  <si>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</si>
  <si>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</si>
  <si>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</si>
  <si>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</si>
  <si>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</si>
  <si>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</si>
  <si>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</si>
  <si>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</si>
  <si>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</si>
  <si>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</si>
  <si>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</si>
  <si>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</si>
  <si>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</si>
  <si>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</si>
  <si>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</si>
  <si>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</si>
  <si>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</si>
  <si>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</si>
  <si>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</si>
  <si>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</si>
  <si>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</si>
  <si>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</si>
  <si>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</si>
  <si>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</si>
  <si>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</si>
  <si>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</si>
  <si>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</si>
  <si>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</si>
  <si>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</si>
  <si>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</si>
  <si>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</si>
  <si>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</si>
  <si>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</si>
  <si>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</si>
  <si>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</si>
  <si>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</si>
  <si>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</si>
  <si>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</si>
  <si>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</si>
  <si>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</si>
  <si>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</si>
  <si>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</si>
  <si>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</si>
  <si>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</si>
  <si>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</si>
  <si>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</si>
  <si>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</si>
  <si>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</si>
  <si>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</si>
  <si>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</si>
  <si>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</si>
  <si>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</si>
  <si>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</si>
  <si>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</si>
  <si>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</si>
  <si>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</si>
  <si>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</si>
  <si>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</si>
  <si>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</si>
  <si>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</si>
  <si>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</si>
  <si>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</si>
  <si>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</si>
  <si>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</si>
  <si>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</si>
  <si>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</si>
  <si>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</si>
  <si>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</si>
  <si>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</si>
  <si>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</si>
  <si>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</si>
  <si>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</si>
  <si>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</si>
  <si>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</si>
  <si>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</si>
  <si>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</si>
  <si>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</si>
  <si>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</si>
  <si>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</si>
  <si>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</si>
  <si>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</si>
  <si>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</si>
  <si>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</si>
  <si>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</si>
  <si>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</si>
  <si>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</si>
  <si>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</si>
  <si>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</si>
  <si>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</si>
  <si>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</si>
  <si>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</si>
  <si>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</si>
  <si>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</si>
  <si>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</si>
  <si>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</si>
  <si>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</si>
  <si>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</si>
  <si>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</si>
  <si>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</si>
  <si>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</si>
  <si>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</si>
  <si>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</si>
  <si>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</si>
  <si>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</si>
  <si>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</si>
  <si>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</si>
  <si>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</si>
  <si>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</si>
  <si>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</si>
  <si>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</si>
  <si>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</si>
  <si>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</si>
  <si>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</si>
  <si>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</si>
  <si>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</si>
  <si>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</si>
  <si>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</si>
  <si>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</si>
  <si>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</si>
  <si>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</si>
  <si>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</si>
  <si>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</si>
  <si>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</si>
  <si>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</si>
  <si>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</si>
  <si>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</si>
  <si>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</si>
  <si>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</si>
  <si>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</si>
  <si>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</si>
  <si>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</si>
  <si>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</si>
  <si>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</si>
  <si>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</si>
  <si>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</si>
  <si>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</si>
  <si>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</si>
  <si>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</si>
  <si>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</si>
  <si>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</si>
  <si>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</si>
  <si>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</si>
  <si>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</si>
  <si>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</si>
  <si>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</si>
  <si>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</si>
  <si>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</si>
  <si>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</si>
  <si>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</si>
  <si>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</si>
  <si>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</si>
  <si>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</si>
  <si>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</si>
  <si>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</si>
  <si>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</si>
  <si>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</si>
  <si>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</si>
  <si>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</si>
  <si>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</si>
  <si>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</si>
  <si>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</si>
  <si>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</si>
  <si>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</si>
  <si>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</si>
  <si>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</si>
  <si>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</si>
  <si>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</si>
  <si>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</si>
  <si>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</si>
  <si>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</si>
  <si>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</si>
  <si>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</si>
  <si>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</si>
  <si>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</si>
  <si>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</si>
  <si>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</si>
  <si>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</si>
  <si>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</si>
  <si>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</si>
  <si>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</si>
  <si>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</si>
  <si>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</si>
  <si>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</si>
  <si>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</si>
  <si>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</si>
  <si>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</si>
  <si>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</si>
  <si>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</si>
  <si>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</si>
  <si>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</si>
  <si>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</si>
  <si>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</si>
  <si>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</si>
  <si>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</si>
  <si>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</si>
  <si>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</si>
  <si>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</si>
  <si>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</si>
  <si>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</si>
  <si>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</si>
  <si>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</si>
  <si>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</si>
  <si>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</si>
  <si>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</si>
  <si>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</si>
  <si>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</si>
  <si>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</si>
  <si>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</si>
  <si>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</si>
  <si>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</si>
  <si>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</si>
  <si>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</si>
  <si>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</si>
  <si>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</si>
  <si>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</si>
  <si>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</si>
  <si>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</si>
  <si>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</si>
  <si>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</si>
  <si>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</si>
  <si>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</si>
  <si>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</si>
  <si>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</si>
  <si>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</si>
  <si>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</si>
  <si>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</si>
  <si>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</si>
  <si>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</si>
  <si>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</si>
  <si>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</si>
  <si>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</si>
  <si>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</si>
  <si>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</si>
  <si>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</si>
  <si>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</si>
  <si>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</si>
  <si>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</si>
  <si>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</si>
  <si>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</si>
  <si>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</si>
  <si>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</si>
  <si>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</si>
  <si>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</si>
  <si>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</si>
  <si>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</si>
  <si>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</si>
  <si>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</si>
  <si>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</si>
  <si>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</si>
  <si>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</si>
  <si>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</si>
  <si>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</si>
  <si>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</si>
  <si>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</si>
  <si>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</si>
  <si>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</si>
  <si>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</si>
  <si>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</si>
  <si>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</si>
  <si>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</si>
  <si>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</si>
  <si>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</si>
  <si>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</si>
  <si>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</si>
  <si>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</si>
  <si>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</si>
  <si>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</si>
  <si>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</si>
  <si>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</si>
  <si>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</si>
  <si>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</si>
  <si>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</si>
  <si>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</si>
  <si>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</si>
  <si>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</si>
  <si>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</si>
  <si>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</si>
  <si>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</si>
  <si>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</si>
  <si>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</si>
  <si>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</si>
  <si>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</si>
  <si>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</si>
  <si>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</si>
  <si>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</si>
  <si>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</si>
  <si>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</si>
  <si>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</si>
  <si>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</si>
  <si>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</si>
  <si>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</si>
  <si>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</si>
  <si>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</si>
  <si>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</si>
  <si>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</si>
  <si>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</si>
  <si>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</si>
  <si>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</si>
  <si>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</si>
  <si>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</si>
  <si>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</si>
  <si>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</si>
  <si>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</si>
  <si>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</si>
  <si>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</si>
  <si>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</si>
  <si>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</si>
  <si>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</si>
  <si>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</si>
  <si>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</si>
  <si>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</si>
  <si>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</si>
  <si>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</si>
  <si>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</si>
  <si>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</si>
  <si>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</si>
  <si>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</si>
  <si>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</si>
  <si>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</si>
  <si>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</si>
  <si>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</si>
  <si>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</si>
  <si>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</si>
  <si>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</si>
  <si>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</si>
  <si>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</si>
  <si>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</si>
  <si>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</si>
  <si>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</si>
  <si>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</si>
  <si>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</si>
  <si>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</si>
  <si>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</si>
  <si>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</si>
  <si>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</si>
  <si>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</si>
  <si>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</si>
  <si>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</si>
  <si>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</si>
  <si>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</si>
  <si>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</si>
  <si>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</si>
  <si>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</si>
  <si>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</si>
  <si>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</si>
  <si>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</si>
  <si>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</si>
  <si>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</si>
  <si>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</si>
  <si>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</si>
  <si>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</si>
  <si>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</si>
  <si>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</si>
  <si>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</si>
  <si>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</si>
  <si>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</si>
  <si>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</si>
  <si>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</si>
  <si>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</si>
  <si>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</si>
  <si>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</si>
  <si>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</si>
  <si>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</si>
  <si>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</si>
  <si>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</si>
  <si>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</si>
  <si>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</si>
  <si>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</si>
  <si>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</si>
  <si>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</si>
  <si>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</si>
  <si>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</si>
  <si>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</si>
  <si>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</si>
  <si>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</si>
  <si>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</si>
  <si>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</si>
  <si>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</si>
  <si>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</si>
  <si>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</si>
  <si>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</si>
  <si>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</si>
  <si>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</si>
  <si>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</si>
  <si>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</si>
  <si>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</si>
  <si>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</si>
  <si>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</si>
  <si>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</si>
  <si>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</si>
  <si>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</si>
  <si>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</si>
  <si>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</si>
  <si>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</si>
  <si>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</si>
  <si>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</si>
  <si>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</si>
  <si>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</si>
  <si>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</si>
  <si>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</si>
  <si>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</si>
  <si>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</si>
  <si>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</si>
  <si>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</si>
  <si>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</si>
  <si>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</si>
  <si>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</si>
  <si>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</si>
  <si>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</si>
  <si>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</si>
  <si>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</si>
  <si>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</si>
  <si>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</si>
  <si>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</si>
  <si>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</si>
  <si>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</si>
  <si>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</si>
  <si>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</si>
  <si>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</si>
  <si>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</si>
  <si>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</si>
  <si>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</si>
  <si>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</si>
  <si>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</si>
  <si>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</si>
  <si>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</si>
  <si>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</si>
  <si>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</si>
  <si>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</si>
  <si>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</si>
  <si>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</si>
  <si>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</si>
  <si>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</si>
  <si>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</si>
  <si>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</si>
  <si>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</si>
  <si>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</si>
  <si>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</si>
  <si>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</si>
  <si>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</si>
  <si>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</si>
  <si>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</si>
  <si>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</si>
  <si>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</si>
  <si>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</si>
  <si>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</si>
  <si>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</si>
  <si>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</si>
  <si>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</si>
  <si>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</si>
  <si>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</si>
  <si>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</si>
  <si>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</si>
  <si>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</si>
  <si>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</si>
  <si>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</si>
  <si>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</si>
  <si>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</si>
  <si>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</si>
  <si>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</si>
  <si>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</si>
  <si>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</si>
  <si>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</si>
  <si>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</si>
  <si>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</si>
  <si>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</si>
  <si>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</si>
  <si>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</si>
  <si>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</si>
  <si>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</si>
  <si>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</si>
  <si>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</si>
  <si>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</si>
  <si>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</si>
  <si>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</si>
  <si>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</si>
  <si>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</si>
  <si>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</si>
  <si>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</si>
  <si>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</si>
  <si>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</si>
  <si>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</si>
  <si>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</si>
  <si>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</si>
  <si>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</si>
  <si>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</si>
  <si>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</si>
  <si>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</si>
  <si>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</si>
  <si>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</si>
  <si>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</si>
  <si>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</si>
  <si>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</si>
  <si>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</si>
  <si>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</si>
  <si>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</si>
  <si>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</si>
  <si>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</si>
  <si>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</si>
  <si>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</si>
  <si>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</si>
  <si>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</si>
  <si>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</si>
  <si>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</si>
  <si>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</si>
  <si>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</si>
  <si>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</si>
  <si>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</si>
  <si>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</si>
  <si>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</si>
  <si>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</si>
  <si>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</si>
  <si>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</si>
  <si>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</si>
  <si>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</si>
  <si>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</si>
  <si>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</si>
  <si>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</si>
  <si>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</si>
  <si>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</si>
  <si>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</si>
  <si>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</si>
  <si>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</si>
  <si>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</si>
  <si>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</si>
  <si>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</si>
  <si>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</si>
  <si>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</si>
  <si>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</si>
  <si>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</si>
  <si>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</si>
  <si>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</si>
  <si>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</si>
  <si>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</si>
  <si>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</si>
  <si>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</si>
  <si>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</si>
  <si>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</si>
  <si>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</si>
  <si>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</si>
  <si>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</si>
  <si>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</si>
  <si>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</si>
  <si>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</si>
  <si>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</si>
  <si>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</si>
  <si>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</si>
  <si>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</si>
  <si>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</si>
  <si>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</si>
  <si>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</si>
  <si>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</si>
  <si>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</si>
  <si>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</si>
  <si>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</si>
  <si>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</si>
  <si>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</si>
  <si>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</si>
  <si>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</si>
  <si>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</si>
  <si>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</si>
  <si>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</si>
  <si>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</si>
  <si>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</si>
  <si>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</si>
  <si>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</si>
  <si>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</si>
  <si>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</si>
  <si>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</si>
  <si>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</si>
  <si>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</si>
  <si>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</si>
  <si>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</si>
  <si>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</si>
  <si>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</si>
  <si>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</si>
  <si>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</si>
  <si>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</si>
  <si>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</si>
  <si>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</si>
  <si>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</si>
  <si>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</si>
  <si>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</si>
  <si>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</si>
  <si>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</si>
  <si>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</si>
  <si>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</si>
  <si>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</si>
  <si>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</si>
  <si>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</si>
  <si>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</si>
  <si>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</si>
  <si>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</si>
  <si>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</si>
  <si>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</si>
  <si>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</si>
  <si>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</si>
  <si>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</si>
  <si>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</si>
  <si>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</si>
  <si>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</si>
  <si>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</si>
  <si>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</si>
  <si>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</si>
  <si>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</si>
  <si>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</si>
  <si>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</si>
  <si>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</si>
  <si>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</si>
  <si>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</si>
  <si>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</si>
  <si>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</si>
  <si>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</si>
  <si>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</si>
  <si>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</si>
  <si>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</si>
  <si>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</si>
  <si>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</si>
  <si>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</si>
  <si>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</si>
  <si>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</si>
  <si>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</si>
  <si>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</si>
  <si>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</si>
  <si>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</si>
  <si>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</si>
  <si>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</si>
  <si>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</si>
  <si>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</si>
  <si>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</si>
  <si>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</si>
  <si>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</si>
  <si>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</si>
  <si>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</si>
  <si>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</si>
  <si>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</si>
  <si>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</si>
  <si>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</si>
  <si>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</si>
  <si>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</si>
  <si>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</si>
  <si>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</si>
  <si>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</si>
  <si>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</si>
  <si>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</si>
  <si>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</si>
  <si>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</si>
  <si>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</si>
  <si>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</si>
  <si>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</si>
  <si>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</si>
  <si>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</si>
  <si>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</si>
  <si>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</si>
  <si>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</si>
  <si>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</si>
  <si>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</si>
  <si>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</si>
  <si>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</si>
  <si>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</si>
  <si>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</si>
  <si>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</si>
  <si>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</si>
  <si>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</si>
  <si>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</si>
  <si>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</si>
  <si>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</si>
  <si>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</si>
  <si>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</si>
  <si>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</si>
  <si>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</si>
  <si>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</si>
  <si>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</si>
  <si>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</si>
  <si>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</si>
  <si>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</si>
  <si>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</si>
  <si>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</si>
  <si>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</si>
  <si>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</si>
  <si>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</si>
  <si>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</si>
  <si>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</si>
  <si>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</si>
  <si>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</si>
  <si>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</si>
  <si>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</si>
  <si>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</si>
  <si>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</si>
  <si>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</si>
  <si>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</si>
  <si>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</si>
  <si>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</si>
  <si>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</si>
  <si>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</si>
  <si>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</si>
  <si>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</si>
  <si>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</si>
  <si>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</si>
  <si>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</si>
  <si>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</si>
  <si>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</si>
  <si>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</si>
  <si>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</si>
  <si>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</si>
  <si>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</si>
  <si>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</si>
  <si>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</si>
  <si>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</si>
  <si>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</si>
  <si>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</si>
  <si>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</si>
  <si>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</si>
  <si>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</si>
  <si>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</si>
  <si>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</si>
  <si>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</si>
  <si>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</si>
  <si>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</si>
  <si>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</si>
  <si>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</si>
  <si>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</si>
  <si>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</si>
  <si>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</si>
  <si>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</si>
  <si>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</si>
  <si>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</si>
  <si>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</si>
  <si>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</si>
  <si>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</si>
  <si>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</si>
  <si>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</si>
  <si>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</si>
  <si>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</si>
  <si>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</si>
  <si>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</si>
  <si>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</si>
  <si>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</si>
  <si>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</si>
  <si>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</si>
  <si>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</si>
  <si>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</si>
  <si>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</si>
  <si>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</si>
  <si>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</si>
  <si>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</si>
  <si>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</si>
  <si>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</si>
  <si>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</si>
  <si>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</si>
  <si>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</si>
  <si>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</si>
  <si>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</si>
  <si>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</si>
  <si>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</si>
  <si>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</si>
  <si>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</si>
  <si>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</si>
  <si>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</si>
  <si>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</si>
  <si>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</si>
  <si>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</si>
  <si>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</si>
  <si>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</si>
  <si>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</si>
  <si>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</si>
  <si>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</si>
  <si>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</si>
  <si>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</si>
  <si>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</si>
  <si>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</si>
  <si>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</si>
  <si>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</si>
  <si>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</si>
  <si>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</si>
  <si>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</si>
  <si>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</si>
  <si>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</si>
  <si>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</si>
  <si>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</si>
  <si>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</si>
  <si>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</si>
  <si>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</si>
  <si>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</si>
  <si>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</si>
  <si>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</si>
  <si>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</si>
  <si>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</si>
  <si>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</si>
  <si>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</si>
  <si>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</si>
  <si>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</si>
  <si>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</si>
  <si>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</si>
  <si>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</si>
  <si>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</si>
  <si>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</si>
  <si>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</si>
  <si>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</si>
  <si>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</si>
  <si>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</si>
  <si>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</si>
  <si>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</si>
  <si>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</si>
  <si>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</si>
  <si>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</si>
  <si>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</si>
  <si>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</si>
  <si>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</si>
  <si>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</si>
  <si>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</si>
  <si>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</si>
  <si>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</si>
  <si>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</si>
  <si>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</si>
  <si>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</si>
  <si>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</si>
  <si>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</si>
  <si>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</si>
  <si>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</si>
  <si>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</si>
  <si>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</si>
  <si>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</si>
  <si>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</si>
  <si>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</si>
  <si>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</si>
  <si>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</si>
  <si>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</si>
  <si>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</si>
  <si>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</si>
  <si>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</si>
  <si>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</si>
  <si>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</si>
  <si>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</si>
  <si>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</si>
  <si>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</si>
  <si>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</si>
  <si>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</si>
  <si>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</si>
  <si>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</si>
  <si>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</si>
  <si>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</si>
  <si>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</si>
  <si>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</si>
  <si>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</si>
  <si>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</si>
  <si>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</si>
  <si>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</si>
  <si>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</si>
  <si>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</si>
  <si>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</si>
  <si>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</si>
  <si>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</si>
  <si>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</si>
  <si>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</si>
  <si>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</si>
  <si>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</si>
  <si>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</si>
  <si>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</si>
  <si>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</si>
  <si>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</si>
  <si>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</si>
  <si>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</si>
  <si>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</si>
  <si>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</si>
  <si>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</si>
  <si>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</si>
  <si>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</si>
  <si>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</si>
  <si>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</si>
  <si>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</si>
  <si>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</si>
  <si>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</si>
  <si>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</si>
  <si>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</si>
  <si>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</si>
  <si>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</si>
  <si>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</si>
  <si>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</si>
  <si>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</si>
  <si>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</si>
  <si>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</si>
  <si>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</si>
  <si>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</si>
  <si>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</si>
  <si>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</si>
  <si>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</si>
  <si>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</si>
  <si>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</si>
  <si>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</si>
  <si>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</si>
  <si>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</si>
  <si>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</si>
  <si>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</si>
  <si>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</si>
  <si>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</si>
  <si>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</si>
  <si>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</si>
  <si>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</si>
  <si>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</si>
  <si>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</si>
  <si>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</si>
  <si>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</si>
  <si>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</si>
  <si>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</si>
  <si>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</si>
  <si>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</si>
  <si>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</si>
  <si>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</si>
  <si>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</si>
  <si>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</si>
  <si>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</si>
  <si>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</si>
  <si>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</si>
  <si>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</si>
  <si>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</si>
  <si>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</si>
  <si>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</si>
  <si>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</si>
  <si>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</si>
  <si>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</si>
  <si>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</si>
  <si>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</si>
  <si>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</si>
  <si>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</si>
  <si>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</si>
  <si>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</si>
  <si>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</si>
  <si>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</si>
  <si>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</si>
  <si>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</si>
  <si>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</si>
  <si>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</si>
  <si>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</si>
  <si>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</si>
  <si>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</si>
  <si>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</si>
  <si>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</si>
  <si>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</si>
  <si>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</si>
  <si>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</si>
  <si>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</si>
  <si>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</si>
  <si>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</si>
  <si>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</si>
  <si>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</si>
  <si>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</si>
  <si>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</si>
  <si>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</si>
  <si>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</si>
  <si>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</si>
  <si>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</si>
  <si>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</si>
  <si>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</si>
  <si>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</si>
  <si>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</si>
  <si>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</si>
  <si>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</si>
  <si>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</si>
  <si>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</si>
  <si>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</si>
  <si>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</si>
  <si>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</si>
  <si>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</si>
  <si>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</si>
  <si>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</si>
  <si>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</si>
  <si>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</si>
  <si>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</si>
  <si>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</si>
  <si>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</si>
  <si>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</si>
  <si>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</si>
  <si>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</si>
  <si>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</si>
  <si>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</si>
  <si>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</si>
  <si>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</si>
  <si>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</si>
  <si>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</si>
  <si>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</si>
  <si>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</si>
  <si>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</si>
  <si>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</si>
  <si>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</si>
  <si>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</si>
  <si>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</si>
  <si>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</si>
  <si>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</si>
  <si>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</si>
  <si>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</si>
  <si>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</si>
  <si>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</si>
  <si>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</si>
  <si>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</si>
  <si>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</si>
  <si>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</si>
  <si>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</si>
  <si>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</si>
  <si>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</si>
  <si>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</si>
  <si>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</si>
  <si>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</si>
  <si>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</si>
  <si>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</si>
  <si>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</si>
  <si>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</si>
  <si>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</si>
  <si>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</si>
  <si>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</si>
  <si>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</si>
  <si>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</si>
  <si>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</si>
  <si>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</si>
  <si>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</si>
  <si>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</si>
  <si>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</si>
  <si>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</si>
  <si>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</si>
  <si>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</si>
  <si>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</si>
  <si>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</si>
  <si>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</si>
  <si>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</si>
  <si>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</si>
  <si>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</si>
  <si>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</si>
  <si>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</si>
  <si>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</si>
  <si>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</si>
  <si>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</si>
  <si>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</si>
  <si>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</si>
  <si>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</si>
  <si>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</si>
  <si>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</si>
  <si>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</si>
  <si>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</si>
  <si>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</si>
  <si>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</si>
  <si>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</si>
  <si>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</si>
  <si>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</si>
  <si>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</si>
  <si>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</si>
  <si>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</si>
  <si>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</si>
  <si>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</si>
  <si>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</si>
  <si>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</si>
  <si>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</si>
  <si>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</si>
  <si>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</si>
  <si>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</si>
  <si>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</si>
  <si>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</si>
  <si>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</si>
  <si>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</si>
  <si>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</si>
  <si>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</si>
  <si>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</si>
  <si>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</si>
  <si>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</si>
  <si>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</si>
  <si>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</si>
  <si>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</si>
  <si>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</si>
  <si>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</si>
  <si>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</si>
  <si>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</si>
  <si>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</si>
  <si>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</si>
  <si>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</si>
  <si>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</si>
  <si>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</si>
  <si>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</si>
  <si>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</si>
  <si>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</si>
  <si>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</si>
  <si>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</si>
  <si>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</si>
  <si>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</si>
  <si>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</si>
  <si>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</si>
  <si>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</si>
  <si>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</si>
  <si>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</si>
  <si>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</si>
  <si>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</si>
  <si>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</si>
  <si>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</si>
  <si>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</si>
  <si>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</si>
  <si>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</si>
  <si>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</si>
  <si>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</si>
  <si>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</si>
  <si>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</si>
  <si>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</si>
  <si>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</si>
  <si>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</si>
  <si>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</si>
  <si>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</si>
  <si>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</si>
  <si>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</si>
  <si>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</si>
  <si>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</si>
  <si>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</si>
  <si>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</si>
  <si>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</si>
  <si>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</si>
  <si>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</si>
  <si>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</si>
  <si>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</si>
  <si>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</si>
  <si>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</si>
  <si>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</si>
  <si>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</si>
  <si>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</si>
  <si>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</si>
  <si>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</si>
  <si>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</si>
  <si>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</si>
  <si>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</si>
  <si>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</si>
  <si>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</si>
  <si>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</si>
  <si>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</si>
  <si>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</si>
  <si>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</si>
  <si>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</si>
  <si>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</si>
  <si>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</si>
  <si>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</si>
  <si>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</si>
  <si>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</si>
  <si>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</si>
  <si>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</si>
  <si>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</si>
  <si>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</si>
  <si>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</si>
  <si>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</si>
  <si>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</si>
  <si>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</si>
  <si>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</si>
  <si>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</si>
  <si>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</si>
  <si>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</si>
  <si>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</si>
  <si>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</si>
  <si>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</si>
  <si>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</si>
  <si>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</si>
  <si>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</si>
  <si>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</si>
  <si>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</si>
  <si>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</si>
  <si>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</si>
  <si>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</si>
  <si>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</si>
  <si>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</si>
  <si>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</si>
  <si>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</si>
  <si>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</si>
  <si>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</si>
  <si>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</si>
  <si>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</si>
  <si>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</si>
  <si>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</si>
  <si>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</si>
  <si>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</si>
  <si>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</si>
  <si>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</si>
  <si>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</si>
  <si>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</si>
  <si>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</si>
  <si>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</si>
  <si>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</si>
  <si>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</si>
  <si>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</si>
  <si>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</si>
  <si>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</si>
  <si>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</si>
  <si>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</si>
  <si>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</si>
  <si>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</si>
  <si>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</si>
  <si>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</si>
  <si>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</si>
  <si>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</si>
  <si>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</si>
  <si>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</si>
  <si>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</si>
  <si>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</si>
  <si>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</si>
  <si>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</si>
  <si>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</si>
  <si>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</si>
  <si>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</si>
  <si>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</si>
  <si>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</si>
  <si>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</si>
  <si>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</si>
  <si>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</si>
  <si>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</si>
  <si>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</si>
  <si>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</si>
  <si>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</si>
  <si>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</si>
  <si>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</si>
  <si>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</si>
  <si>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</si>
  <si>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</si>
  <si>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</si>
  <si>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</si>
  <si>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</si>
  <si>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</si>
  <si>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</si>
  <si>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</si>
  <si>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</si>
  <si>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</si>
  <si>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</si>
  <si>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</si>
  <si>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</si>
  <si>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</si>
  <si>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</si>
  <si>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</si>
  <si>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</si>
  <si>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</si>
  <si>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</si>
  <si>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</si>
  <si>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</si>
  <si>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</si>
  <si>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</si>
  <si>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</si>
  <si>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</si>
  <si>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</si>
  <si>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</si>
  <si>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</si>
  <si>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</si>
  <si>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</si>
  <si>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</si>
  <si>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</si>
  <si>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</si>
  <si>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</si>
  <si>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</si>
  <si>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</si>
  <si>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</si>
  <si>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</si>
  <si>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</si>
  <si>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</si>
  <si>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</si>
  <si>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</si>
  <si>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</si>
  <si>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</si>
  <si>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</si>
  <si>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</si>
  <si>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</si>
  <si>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</si>
  <si>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</si>
  <si>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</si>
  <si>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</si>
  <si>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</si>
  <si>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</si>
  <si>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</si>
  <si>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</si>
  <si>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</si>
  <si>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</si>
  <si>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</si>
  <si>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</si>
  <si>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</si>
  <si>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</si>
  <si>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</si>
  <si>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</si>
  <si>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</si>
  <si>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</si>
  <si>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</si>
  <si>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</si>
  <si>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</si>
  <si>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</si>
  <si>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</si>
  <si>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</si>
  <si>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</si>
  <si>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</si>
  <si>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</si>
  <si>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</si>
  <si>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</si>
  <si>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</si>
  <si>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</si>
  <si>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</si>
  <si>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</si>
  <si>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</si>
  <si>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</si>
  <si>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</si>
  <si>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</si>
  <si>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</si>
  <si>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</si>
  <si>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</si>
  <si>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</si>
  <si>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</si>
  <si>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</si>
  <si>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</si>
  <si>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</si>
  <si>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</si>
  <si>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</si>
  <si>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</si>
  <si>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</si>
  <si>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</si>
  <si>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</si>
  <si>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</si>
  <si>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</si>
  <si>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</si>
  <si>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</si>
  <si>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</si>
  <si>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</si>
  <si>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</si>
  <si>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</si>
  <si>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</si>
  <si>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</si>
  <si>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</si>
  <si>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</si>
  <si>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</si>
  <si>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</si>
  <si>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</si>
  <si>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</si>
  <si>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</si>
  <si>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</si>
  <si>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</si>
  <si>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</si>
  <si>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</si>
  <si>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</si>
  <si>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</si>
  <si>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</si>
  <si>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</si>
  <si>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</si>
  <si>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</si>
  <si>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</si>
  <si>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</si>
  <si>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</si>
  <si>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</si>
  <si>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</si>
  <si>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</si>
  <si>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</si>
  <si>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</si>
  <si>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</si>
  <si>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</si>
  <si>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</si>
  <si>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</si>
  <si>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</si>
  <si>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</si>
  <si>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</si>
  <si>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</si>
  <si>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</si>
  <si>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</si>
  <si>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</si>
  <si>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</si>
  <si>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</si>
  <si>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</si>
  <si>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</si>
  <si>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</si>
  <si>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</si>
  <si>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</si>
  <si>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</si>
  <si>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</si>
  <si>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</si>
  <si>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</si>
  <si>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</si>
  <si>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</si>
  <si>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</si>
  <si>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</si>
  <si>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</si>
  <si>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</si>
  <si>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</si>
  <si>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</si>
  <si>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</si>
  <si>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</si>
  <si>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</si>
  <si>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</si>
  <si>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</si>
  <si>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</si>
  <si>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</si>
  <si>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</si>
  <si>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</si>
  <si>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</si>
  <si>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</si>
  <si>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</si>
  <si>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</si>
  <si>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</si>
  <si>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</si>
  <si>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</si>
  <si>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</si>
  <si>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</si>
  <si>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</si>
  <si>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</si>
  <si>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</si>
  <si>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</si>
  <si>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</si>
  <si>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</si>
  <si>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</si>
  <si>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</si>
  <si>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</si>
  <si>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</si>
  <si>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</si>
  <si>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</si>
  <si>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</si>
  <si>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</si>
  <si>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</si>
  <si>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</si>
  <si>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</si>
  <si>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</si>
  <si>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</si>
  <si>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</si>
  <si>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</si>
  <si>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</si>
  <si>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</si>
  <si>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</si>
  <si>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</si>
  <si>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</si>
  <si>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</si>
  <si>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</si>
  <si>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</si>
  <si>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</si>
  <si>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</si>
  <si>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</si>
  <si>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</si>
  <si>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</si>
  <si>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</si>
  <si>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</si>
  <si>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</si>
  <si>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</si>
  <si>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</si>
  <si>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</si>
  <si>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</si>
  <si>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</si>
  <si>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</si>
  <si>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</si>
  <si>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</si>
  <si>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</si>
  <si>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</si>
  <si>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</si>
  <si>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</si>
  <si>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</si>
  <si>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</si>
  <si>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</si>
  <si>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</si>
  <si>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</si>
  <si>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</si>
  <si>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</si>
  <si>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</si>
  <si>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</si>
  <si>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</si>
  <si>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</si>
  <si>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</si>
  <si>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</si>
  <si>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</si>
  <si>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</si>
  <si>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</si>
  <si>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</si>
  <si>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</si>
  <si>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</si>
  <si>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</si>
  <si>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</si>
  <si>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</si>
  <si>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</si>
  <si>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</si>
  <si>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</si>
  <si>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</si>
  <si>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</si>
  <si>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</si>
  <si>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</si>
  <si>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</si>
  <si>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</si>
  <si>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</si>
  <si>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</si>
  <si>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</si>
  <si>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</si>
  <si>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</si>
  <si>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</si>
  <si>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</si>
  <si>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</si>
  <si>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</si>
  <si>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</si>
  <si>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</si>
  <si>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</si>
  <si>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</si>
  <si>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</si>
  <si>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</si>
  <si>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</si>
  <si>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</si>
  <si>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</si>
  <si>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</si>
  <si>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</si>
  <si>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</si>
  <si>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</si>
  <si>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</si>
  <si>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</si>
  <si>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</si>
  <si>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</si>
  <si>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</si>
  <si>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</si>
  <si>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</si>
  <si>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</si>
  <si>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</si>
  <si>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</si>
  <si>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</si>
  <si>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</si>
  <si>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</si>
  <si>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</si>
  <si>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</si>
  <si>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</si>
  <si>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</si>
  <si>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</si>
  <si>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</si>
  <si>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</si>
  <si>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</si>
  <si>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</si>
  <si>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</si>
  <si>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</si>
  <si>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</si>
  <si>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</si>
  <si>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</si>
  <si>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</si>
  <si>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</si>
  <si>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</si>
  <si>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</si>
  <si>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</si>
  <si>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</si>
  <si>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</si>
  <si>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</si>
  <si>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</si>
  <si>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</si>
  <si>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</si>
  <si>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</si>
  <si>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</si>
  <si>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</si>
  <si>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</si>
  <si>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</si>
  <si>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</si>
  <si>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</si>
  <si>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</si>
  <si>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</si>
  <si>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</si>
  <si>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</si>
  <si>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</si>
  <si>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</si>
  <si>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</si>
  <si>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</si>
  <si>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</si>
  <si>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</si>
  <si>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</si>
  <si>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</si>
  <si>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</si>
  <si>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</si>
  <si>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</si>
  <si>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</si>
  <si>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</si>
  <si>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</si>
  <si>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</si>
  <si>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</si>
  <si>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</si>
  <si>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</si>
  <si>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</si>
  <si>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</si>
  <si>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</si>
  <si>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</si>
  <si>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</si>
  <si>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</si>
  <si>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</si>
  <si>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</si>
  <si>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</si>
  <si>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</si>
  <si>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</si>
  <si>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</si>
  <si>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</si>
  <si>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</si>
  <si>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</si>
  <si>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</si>
  <si>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</si>
  <si>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</si>
  <si>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</si>
  <si>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</si>
  <si>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</si>
  <si>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</si>
  <si>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</si>
  <si>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</si>
  <si>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</si>
  <si>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</si>
  <si>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</si>
  <si>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</si>
  <si>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</si>
  <si>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</si>
  <si>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</si>
  <si>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</si>
  <si>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</si>
  <si>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</si>
  <si>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</si>
  <si>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</si>
  <si>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</si>
  <si>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</si>
  <si>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</si>
  <si>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</si>
  <si>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</si>
  <si>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</si>
  <si>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</si>
  <si>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</si>
  <si>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</si>
  <si>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</si>
  <si>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</si>
  <si>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</si>
  <si>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</si>
  <si>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</si>
  <si>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</si>
  <si>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</si>
  <si>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</si>
  <si>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</si>
  <si>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</si>
  <si>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</si>
  <si>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</si>
  <si>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</si>
  <si>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</si>
  <si>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</si>
  <si>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</si>
  <si>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</si>
  <si>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</si>
  <si>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</si>
  <si>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</si>
  <si>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</si>
  <si>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</si>
  <si>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</si>
  <si>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</si>
  <si>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</si>
  <si>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</si>
  <si>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</si>
  <si>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</si>
  <si>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</si>
  <si>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</si>
  <si>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</si>
  <si>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</si>
  <si>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</si>
  <si>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</si>
  <si>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</si>
  <si>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</si>
  <si>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</si>
  <si>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</si>
  <si>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</si>
  <si>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</si>
  <si>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</si>
  <si>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</si>
  <si>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</si>
  <si>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</si>
  <si>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</si>
  <si>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</si>
  <si>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</si>
  <si>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</si>
  <si>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</si>
  <si>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</si>
  <si>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</si>
  <si>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</si>
  <si>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</si>
  <si>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</si>
  <si>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</si>
  <si>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</si>
  <si>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</si>
  <si>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</si>
  <si>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</si>
  <si>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</si>
  <si>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</si>
  <si>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</si>
  <si>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</si>
  <si>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</si>
  <si>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</si>
  <si>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</si>
  <si>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</si>
  <si>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</si>
  <si>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</si>
  <si>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</si>
  <si>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</si>
  <si>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</si>
  <si>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</si>
  <si>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</si>
  <si>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</si>
  <si>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</si>
  <si>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</si>
  <si>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</si>
  <si>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</si>
  <si>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</si>
  <si>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</si>
  <si>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</si>
  <si>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</si>
  <si>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</si>
  <si>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</si>
  <si>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</si>
  <si>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</si>
  <si>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</si>
  <si>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</si>
  <si>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</si>
  <si>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</si>
  <si>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</si>
  <si>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</si>
  <si>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</si>
  <si>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</si>
  <si>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</si>
  <si>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</si>
  <si>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</si>
  <si>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</si>
  <si>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</si>
  <si>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</si>
  <si>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</si>
  <si>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</si>
  <si>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</si>
  <si>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</si>
  <si>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</si>
  <si>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</si>
  <si>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</si>
  <si>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</si>
  <si>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</si>
  <si>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</si>
  <si>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</si>
  <si>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</si>
  <si>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</si>
  <si>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</si>
  <si>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</si>
  <si>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</si>
  <si>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</si>
  <si>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</si>
  <si>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</si>
  <si>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</si>
  <si>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</si>
  <si>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</si>
  <si>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</si>
  <si>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</si>
  <si>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</si>
  <si>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</si>
  <si>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</si>
  <si>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</si>
  <si>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</si>
  <si>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</si>
  <si>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</si>
  <si>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</si>
  <si>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</si>
  <si>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</si>
  <si>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</si>
  <si>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</si>
  <si>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</si>
  <si>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</si>
  <si>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</si>
  <si>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</si>
  <si>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</si>
  <si>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</si>
  <si>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</si>
  <si>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</si>
  <si>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</si>
  <si>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</si>
  <si>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</si>
  <si>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</si>
  <si>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</si>
  <si>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</si>
  <si>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</si>
  <si>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</si>
  <si>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</si>
  <si>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</si>
  <si>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</si>
  <si>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</si>
  <si>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</si>
  <si>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</si>
  <si>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</si>
  <si>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</si>
  <si>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</si>
  <si>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</si>
  <si>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</si>
  <si>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</si>
  <si>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</si>
  <si>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</si>
  <si>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</si>
  <si>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</si>
  <si>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</si>
  <si>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</si>
  <si>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</si>
  <si>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</si>
  <si>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</si>
  <si>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</si>
  <si>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</si>
  <si>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</si>
  <si>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</si>
  <si>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</si>
  <si>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</si>
  <si>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</si>
  <si>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</si>
  <si>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</si>
  <si>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</si>
  <si>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</si>
  <si>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</si>
  <si>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</si>
  <si>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</si>
  <si>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</si>
  <si>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</si>
  <si>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</si>
  <si>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</si>
  <si>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</si>
  <si>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</si>
  <si>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</si>
  <si>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</si>
  <si>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</si>
  <si>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</si>
  <si>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</si>
  <si>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</si>
  <si>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</si>
  <si>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</si>
  <si>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</si>
  <si>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</si>
  <si>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</si>
  <si>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</si>
  <si>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</si>
  <si>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</si>
  <si>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</si>
  <si>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</si>
  <si>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</si>
  <si>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</si>
  <si>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</si>
  <si>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</si>
  <si>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</si>
  <si>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</si>
  <si>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</si>
  <si>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</si>
  <si>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</si>
  <si>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</si>
  <si>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</si>
  <si>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</si>
  <si>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</si>
  <si>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</si>
  <si>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</si>
  <si>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</si>
  <si>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</si>
  <si>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</si>
  <si>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</si>
  <si>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</si>
  <si>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</si>
  <si>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</si>
  <si>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</si>
  <si>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</si>
  <si>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</si>
  <si>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</si>
  <si>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</si>
  <si>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</si>
  <si>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</si>
  <si>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</si>
  <si>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</si>
  <si>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</si>
  <si>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</si>
  <si>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</si>
  <si>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</si>
  <si>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</si>
  <si>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</si>
  <si>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</si>
  <si>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</si>
  <si>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</si>
  <si>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</si>
  <si>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</si>
  <si>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</si>
  <si>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</si>
  <si>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</si>
  <si>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</si>
  <si>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</si>
  <si>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</si>
  <si>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</si>
  <si>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</si>
  <si>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</si>
  <si>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</si>
  <si>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</si>
  <si>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</si>
  <si>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</si>
  <si>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</si>
  <si>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</si>
  <si>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</si>
  <si>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</si>
  <si>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</si>
  <si>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</si>
  <si>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</si>
  <si>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</si>
  <si>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</si>
  <si>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</si>
  <si>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</si>
  <si>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</si>
  <si>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</si>
  <si>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</si>
  <si>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</si>
  <si>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</si>
  <si>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</si>
  <si>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</si>
  <si>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</si>
  <si>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</si>
  <si>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</si>
  <si>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</si>
  <si>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</si>
  <si>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</si>
  <si>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</si>
  <si>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</si>
  <si>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</si>
  <si>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</si>
  <si>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</si>
  <si>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</si>
  <si>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</si>
  <si>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</si>
  <si>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</si>
  <si>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</si>
  <si>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</si>
  <si>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</si>
  <si>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</si>
  <si>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</si>
  <si>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</si>
  <si>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</si>
  <si>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</si>
  <si>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</si>
  <si>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</si>
  <si>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</si>
  <si>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</si>
  <si>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</si>
  <si>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</si>
  <si>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</si>
  <si>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</si>
  <si>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</si>
  <si>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</si>
  <si>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</si>
  <si>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</si>
  <si>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</si>
  <si>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</si>
  <si>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</si>
  <si>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</si>
  <si>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</si>
  <si>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</si>
  <si>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</si>
  <si>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</si>
  <si>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</si>
  <si>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</si>
  <si>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</si>
  <si>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</si>
  <si>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</si>
  <si>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</si>
  <si>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</si>
  <si>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</si>
  <si>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</si>
  <si>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</si>
  <si>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</si>
  <si>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</si>
  <si>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</si>
  <si>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</si>
  <si>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</si>
  <si>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</si>
  <si>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</si>
  <si>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</si>
  <si>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</si>
  <si>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</si>
  <si>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</si>
  <si>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</si>
  <si>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</si>
  <si>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</si>
  <si>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</si>
  <si>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</si>
  <si>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</si>
  <si>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</si>
  <si>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</si>
  <si>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</si>
  <si>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</si>
  <si>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</si>
  <si>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</si>
  <si>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</si>
  <si>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</si>
  <si>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</si>
  <si>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</si>
  <si>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</si>
  <si>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</si>
  <si>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</si>
  <si>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</si>
  <si>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</si>
  <si>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</si>
  <si>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</si>
  <si>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</si>
  <si>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</si>
  <si>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</si>
  <si>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</si>
  <si>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</si>
  <si>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</si>
  <si>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</si>
  <si>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</si>
  <si>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</si>
  <si>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</si>
  <si>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</si>
  <si>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</si>
  <si>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</si>
  <si>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</si>
  <si>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</si>
  <si>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</si>
  <si>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</si>
  <si>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</si>
  <si>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</si>
  <si>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</si>
  <si>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</si>
  <si>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</si>
  <si>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</si>
  <si>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</si>
  <si>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</si>
  <si>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</si>
  <si>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</si>
  <si>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</si>
  <si>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</si>
  <si>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</si>
  <si>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</si>
  <si>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</si>
  <si>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</si>
  <si>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</si>
  <si>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</si>
  <si>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</si>
  <si>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</si>
  <si>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</si>
  <si>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</si>
  <si>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</si>
  <si>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</si>
  <si>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</si>
  <si>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</si>
  <si>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</si>
  <si>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</si>
  <si>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</si>
  <si>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</si>
  <si>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</si>
  <si>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</si>
  <si>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</si>
  <si>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</si>
  <si>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</si>
  <si>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</si>
  <si>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</si>
  <si>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</si>
  <si>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</si>
  <si>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</si>
  <si>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</si>
  <si>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</si>
  <si>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</si>
  <si>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</si>
  <si>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</si>
  <si>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</si>
  <si>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</si>
  <si>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</si>
  <si>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</si>
  <si>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</si>
  <si>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</si>
  <si>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</si>
  <si>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</si>
  <si>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</si>
  <si>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</si>
  <si>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</si>
  <si>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</si>
  <si>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</si>
  <si>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</si>
  <si>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</si>
  <si>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</si>
  <si>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</si>
  <si>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</si>
  <si>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</si>
  <si>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</si>
  <si>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</si>
  <si>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</si>
  <si>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</si>
  <si>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</si>
  <si>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</si>
  <si>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</si>
  <si>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</si>
  <si>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</si>
  <si>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</si>
  <si>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</si>
  <si>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</si>
  <si>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</si>
  <si>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</si>
  <si>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</si>
  <si>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</si>
  <si>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</si>
  <si>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</si>
  <si>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</si>
  <si>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</si>
  <si>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</si>
  <si>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</si>
  <si>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</si>
  <si>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</si>
  <si>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</si>
  <si>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</si>
  <si>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</si>
  <si>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</si>
  <si>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</si>
  <si>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</si>
  <si>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</si>
  <si>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</si>
  <si>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</si>
  <si>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</si>
  <si>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</si>
  <si>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</si>
  <si>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</si>
  <si>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</si>
  <si>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</si>
  <si>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</si>
  <si>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</si>
  <si>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</si>
  <si>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</si>
  <si>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</si>
  <si>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</si>
  <si>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</si>
  <si>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</si>
  <si>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</si>
  <si>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</si>
  <si>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</si>
  <si>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</si>
  <si>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</si>
  <si>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</si>
  <si>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</si>
  <si>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</si>
  <si>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</si>
  <si>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</si>
  <si>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</si>
  <si>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</si>
  <si>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</si>
  <si>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</si>
  <si>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</si>
  <si>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</si>
  <si>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</si>
  <si>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</si>
  <si>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</si>
  <si>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</si>
  <si>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</si>
  <si>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</si>
  <si>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</si>
  <si>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</si>
  <si>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</si>
  <si>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</si>
  <si>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</si>
  <si>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</si>
  <si>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</si>
  <si>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</si>
  <si>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</si>
  <si>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</si>
  <si>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</si>
  <si>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</si>
  <si>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</si>
  <si>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</si>
  <si>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</si>
  <si>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</si>
  <si>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</si>
  <si>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</si>
  <si>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</si>
  <si>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</si>
  <si>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</si>
  <si>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</si>
  <si>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</si>
  <si>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</si>
  <si>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</si>
  <si>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</si>
  <si>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</si>
  <si>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</si>
  <si>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</si>
  <si>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</si>
  <si>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</si>
  <si>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</si>
  <si>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</si>
  <si>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</si>
  <si>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</si>
  <si>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</si>
  <si>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</si>
  <si>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</si>
  <si>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</si>
  <si>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</si>
  <si>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</si>
  <si>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</si>
  <si>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</si>
  <si>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</si>
  <si>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</si>
  <si>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</si>
  <si>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</si>
  <si>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</si>
  <si>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</si>
  <si>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</si>
  <si>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</si>
  <si>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</si>
  <si>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</si>
  <si>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</si>
  <si>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</si>
  <si>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</si>
  <si>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</si>
  <si>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</si>
  <si>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</si>
  <si>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</si>
  <si>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</si>
  <si>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</si>
  <si>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</si>
  <si>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</si>
  <si>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</si>
  <si>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</si>
  <si>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</si>
  <si>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</si>
  <si>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</si>
  <si>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</si>
  <si>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</si>
  <si>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</si>
  <si>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</si>
  <si>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</si>
  <si>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</si>
  <si>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</si>
  <si>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</si>
  <si>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</si>
  <si>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</si>
  <si>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</si>
  <si>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</si>
  <si>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</si>
  <si>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</si>
  <si>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</si>
  <si>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</si>
  <si>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</si>
  <si>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</si>
  <si>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</si>
  <si>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</si>
  <si>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</si>
  <si>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</si>
  <si>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</si>
  <si>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</si>
  <si>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</si>
  <si>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</si>
  <si>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</si>
  <si>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</si>
  <si>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</si>
  <si>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</si>
  <si>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</si>
  <si>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</si>
  <si>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</si>
  <si>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</si>
  <si>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</si>
  <si>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</si>
  <si>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</si>
  <si>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</si>
  <si>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</si>
  <si>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</si>
  <si>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</si>
  <si>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</si>
  <si>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</si>
  <si>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</si>
  <si>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</si>
  <si>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</si>
  <si>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</si>
  <si>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</si>
  <si>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</si>
  <si>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</si>
  <si>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</si>
  <si>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</si>
  <si>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</si>
  <si>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</si>
  <si>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</si>
  <si>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</si>
  <si>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</si>
  <si>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</si>
  <si>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</si>
  <si>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</si>
  <si>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</si>
  <si>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</si>
  <si>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</si>
  <si>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</si>
  <si>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</si>
  <si>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</si>
  <si>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</si>
  <si>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</si>
  <si>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</si>
  <si>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</si>
  <si>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</si>
  <si>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</si>
  <si>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</si>
  <si>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</si>
  <si>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</si>
  <si>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</si>
  <si>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</si>
  <si>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</si>
  <si>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</si>
  <si>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</si>
  <si>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</si>
  <si>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</si>
  <si>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</si>
  <si>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</si>
  <si>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</si>
  <si>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</si>
  <si>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</si>
  <si>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</si>
  <si>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</si>
  <si>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</si>
  <si>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</si>
  <si>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</si>
  <si>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</si>
  <si>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</si>
  <si>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</si>
  <si>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</si>
  <si>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</si>
  <si>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</si>
  <si>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</si>
  <si>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</si>
  <si>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</si>
  <si>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</si>
  <si>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</si>
  <si>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</si>
  <si>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</si>
  <si>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</si>
  <si>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</si>
  <si>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</si>
  <si>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</si>
  <si>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</si>
  <si>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</si>
  <si>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</si>
  <si>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</si>
  <si>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</si>
  <si>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</si>
  <si>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</si>
  <si>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</si>
  <si>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</si>
  <si>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</si>
  <si>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</si>
  <si>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</si>
  <si>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</si>
  <si>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</si>
  <si>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</si>
  <si>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</si>
  <si>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</si>
  <si>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</si>
  <si>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</si>
  <si>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</si>
  <si>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</si>
  <si>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</si>
  <si>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</si>
  <si>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</si>
  <si>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</si>
  <si>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</si>
  <si>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</si>
  <si>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</si>
  <si>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</si>
  <si>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</si>
  <si>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</si>
  <si>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</si>
  <si>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</si>
  <si>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</si>
  <si>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</si>
  <si>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</si>
  <si>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</si>
  <si>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</si>
  <si>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</si>
  <si>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</si>
  <si>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</si>
  <si>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</si>
  <si>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</si>
  <si>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</si>
  <si>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</si>
  <si>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</si>
  <si>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</si>
  <si>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</si>
  <si>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</si>
  <si>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</si>
  <si>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</si>
  <si>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</si>
  <si>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</si>
  <si>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</si>
  <si>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</si>
  <si>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</si>
  <si>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</si>
  <si>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</si>
  <si>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</si>
  <si>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</si>
  <si>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</si>
  <si>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</si>
  <si>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</si>
  <si>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</si>
  <si>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</si>
  <si>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</si>
  <si>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</si>
  <si>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</si>
  <si>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</si>
  <si>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</si>
  <si>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</si>
  <si>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</si>
  <si>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</si>
  <si>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</si>
  <si>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</si>
  <si>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</si>
  <si>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</si>
  <si>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</si>
  <si>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</si>
  <si>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</si>
  <si>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</si>
  <si>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</si>
  <si>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</si>
  <si>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</si>
  <si>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</si>
  <si>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</si>
  <si>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</si>
  <si>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</si>
  <si>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</si>
  <si>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</si>
  <si>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</si>
  <si>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</si>
  <si>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</si>
  <si>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</si>
  <si>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</si>
  <si>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</si>
  <si>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</si>
  <si>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</si>
  <si>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</si>
  <si>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</si>
  <si>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</si>
  <si>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</si>
  <si>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</si>
  <si>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</si>
  <si>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</si>
  <si>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</si>
  <si>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</si>
  <si>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</si>
  <si>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</si>
  <si>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</si>
  <si>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</si>
  <si>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</si>
  <si>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</si>
  <si>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</si>
  <si>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</si>
  <si>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</si>
  <si>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</si>
  <si>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</si>
  <si>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</si>
  <si>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</si>
  <si>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</si>
  <si>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</si>
  <si>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</si>
  <si>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</si>
  <si>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</si>
  <si>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</si>
  <si>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</si>
  <si>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</si>
  <si>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</si>
  <si>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</si>
  <si>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</si>
  <si>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</si>
  <si>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</si>
  <si>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</si>
  <si>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</si>
  <si>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</si>
  <si>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</si>
  <si>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</si>
  <si>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</si>
  <si>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</si>
  <si>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</si>
  <si>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</si>
  <si>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</si>
  <si>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</si>
  <si>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</si>
  <si>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</si>
  <si>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</si>
  <si>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</si>
  <si>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</si>
  <si>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</si>
  <si>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</si>
  <si>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</si>
  <si>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</si>
  <si>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</si>
  <si>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</si>
  <si>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</si>
  <si>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</si>
  <si>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</si>
  <si>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</si>
  <si>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</si>
  <si>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</si>
  <si>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</si>
  <si>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</si>
  <si>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</si>
  <si>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</si>
  <si>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</si>
  <si>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</si>
  <si>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</si>
  <si>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</si>
  <si>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</si>
  <si>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</si>
  <si>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</si>
  <si>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</si>
  <si>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</si>
  <si>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</si>
  <si>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</si>
  <si>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</si>
  <si>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</si>
  <si>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</si>
  <si>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</si>
  <si>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</si>
  <si>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</si>
  <si>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</si>
  <si>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</si>
  <si>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</si>
  <si>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</si>
  <si>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</si>
  <si>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</si>
  <si>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</si>
  <si>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</si>
  <si>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</si>
  <si>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</si>
  <si>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</si>
  <si>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</si>
  <si>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</si>
  <si>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</si>
  <si>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</si>
  <si>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</si>
  <si>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</si>
  <si>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</si>
  <si>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</si>
  <si>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</si>
  <si>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</si>
  <si>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</si>
  <si>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</si>
  <si>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</si>
  <si>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</si>
  <si>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</si>
  <si>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</si>
  <si>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</si>
  <si>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</si>
  <si>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</si>
  <si>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</si>
  <si>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</si>
  <si>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</si>
  <si>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</si>
  <si>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</si>
  <si>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</si>
  <si>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</si>
  <si>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</si>
  <si>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</si>
  <si>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</si>
  <si>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</si>
  <si>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</si>
  <si>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</si>
  <si>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</si>
  <si>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</si>
  <si>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</si>
  <si>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</si>
  <si>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</si>
  <si>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</si>
  <si>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</si>
  <si>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</si>
  <si>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</si>
  <si>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</si>
  <si>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</si>
  <si>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</si>
  <si>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</si>
  <si>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</si>
  <si>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</si>
  <si>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</si>
  <si>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</si>
  <si>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</si>
  <si>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</si>
  <si>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</si>
  <si>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</si>
  <si>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</si>
  <si>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</si>
  <si>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</si>
  <si>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</si>
  <si>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</si>
  <si>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</si>
  <si>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</si>
  <si>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</si>
  <si>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</si>
  <si>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</si>
  <si>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</si>
  <si>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</si>
  <si>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</si>
  <si>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</si>
  <si>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</si>
  <si>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</si>
  <si>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</si>
  <si>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</si>
  <si>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</si>
  <si>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</si>
  <si>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</si>
  <si>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</si>
  <si>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</si>
  <si>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</si>
  <si>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</si>
  <si>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</si>
  <si>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</si>
  <si>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</si>
  <si>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</si>
  <si>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</si>
  <si>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</si>
  <si>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</si>
  <si>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</si>
  <si>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</si>
  <si>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</si>
  <si>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</si>
  <si>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</si>
  <si>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</si>
  <si>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</si>
  <si>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</si>
  <si>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</si>
  <si>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</si>
  <si>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</si>
  <si>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</si>
  <si>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</si>
  <si>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</si>
  <si>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</si>
  <si>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</si>
  <si>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</si>
  <si>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</si>
  <si>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</si>
  <si>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</si>
  <si>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</si>
  <si>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</si>
  <si>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</si>
  <si>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</si>
  <si>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</si>
  <si>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</si>
  <si>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</si>
  <si>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</si>
  <si>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</si>
  <si>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</si>
  <si>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</si>
  <si>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</si>
  <si>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</si>
  <si>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</si>
  <si>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</si>
  <si>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</si>
  <si>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</si>
  <si>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</si>
  <si>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</si>
  <si>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</si>
  <si>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</si>
  <si>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</si>
  <si>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</si>
  <si>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</si>
  <si>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</si>
  <si>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</si>
  <si>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</si>
  <si>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</si>
  <si>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</si>
  <si>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</si>
  <si>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</si>
  <si>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</si>
  <si>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</si>
  <si>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</si>
  <si>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</si>
  <si>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</si>
  <si>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</si>
  <si>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</si>
  <si>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</si>
  <si>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</si>
  <si>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</si>
  <si>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</si>
  <si>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</si>
  <si>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</si>
  <si>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</si>
  <si>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</si>
  <si>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</si>
  <si>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</si>
  <si>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</si>
  <si>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</si>
  <si>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</si>
  <si>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</si>
  <si>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</si>
  <si>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</si>
  <si>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</si>
  <si>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</si>
  <si>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</si>
  <si>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</si>
  <si>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</si>
  <si>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</si>
  <si>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</si>
  <si>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</si>
  <si>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</si>
  <si>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</si>
  <si>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</si>
  <si>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</si>
  <si>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</si>
  <si>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</si>
  <si>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</si>
  <si>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</si>
  <si>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</si>
  <si>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</si>
  <si>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</si>
  <si>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</si>
  <si>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</si>
  <si>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</si>
  <si>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</si>
  <si>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</si>
  <si>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</si>
  <si>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</si>
  <si>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</si>
  <si>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</si>
  <si>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</si>
  <si>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</si>
  <si>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</si>
  <si>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</si>
  <si>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</si>
  <si>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</si>
  <si>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</si>
  <si>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</si>
  <si>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</si>
  <si>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</si>
  <si>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</si>
  <si>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</si>
  <si>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</si>
  <si>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</si>
  <si>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</si>
  <si>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</si>
  <si>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</si>
  <si>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</si>
  <si>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</si>
  <si>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</si>
  <si>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</si>
  <si>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</si>
  <si>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</si>
  <si>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</si>
  <si>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</si>
  <si>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</si>
  <si>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</si>
  <si>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</si>
  <si>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</si>
  <si>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</si>
  <si>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</si>
  <si>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</si>
  <si>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</si>
  <si>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</si>
  <si>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</si>
  <si>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</si>
  <si>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</si>
  <si>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</si>
  <si>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</si>
  <si>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</si>
  <si>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</si>
  <si>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</si>
  <si>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</si>
  <si>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</si>
  <si>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</si>
  <si>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</si>
  <si>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</si>
  <si>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</si>
  <si>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</si>
  <si>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</si>
  <si>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</si>
  <si>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</si>
  <si>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</si>
  <si>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</si>
  <si>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</si>
  <si>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</si>
  <si>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</si>
  <si>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</si>
  <si>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</si>
  <si>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</si>
  <si>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</si>
  <si>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</si>
  <si>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</si>
  <si>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</si>
  <si>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</si>
  <si>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</si>
  <si>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</si>
  <si>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</si>
  <si>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</si>
  <si>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</si>
  <si>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</si>
  <si>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</si>
  <si>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</si>
  <si>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</si>
  <si>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</si>
  <si>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</si>
  <si>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</si>
  <si>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</si>
  <si>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</si>
  <si>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</si>
  <si>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</si>
  <si>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</si>
  <si>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</si>
  <si>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</si>
  <si>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</si>
  <si>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</si>
  <si>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</si>
  <si>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</si>
  <si>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</si>
  <si>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</si>
  <si>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</si>
  <si>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</si>
  <si>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</si>
  <si>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</si>
  <si>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</si>
  <si>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</si>
  <si>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</si>
  <si>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</si>
  <si>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</si>
  <si>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</si>
  <si>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</si>
  <si>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</si>
  <si>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</si>
  <si>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</si>
  <si>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</si>
  <si>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</si>
  <si>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</si>
  <si>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</si>
  <si>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</si>
  <si>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</si>
  <si>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</si>
  <si>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</si>
  <si>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</si>
  <si>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</si>
  <si>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</si>
  <si>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</si>
  <si>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</si>
  <si>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</si>
  <si>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</si>
  <si>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</si>
  <si>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</si>
  <si>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</si>
  <si>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</si>
  <si>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</si>
  <si>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</si>
  <si>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</si>
  <si>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</si>
  <si>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</si>
  <si>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</si>
  <si>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</si>
  <si>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</si>
  <si>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</si>
  <si>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</si>
  <si>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</si>
  <si>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</si>
  <si>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</si>
  <si>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</si>
  <si>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</si>
  <si>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</si>
  <si>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</si>
  <si>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</si>
  <si>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</si>
  <si>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</si>
  <si>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</si>
  <si>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</si>
  <si>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</si>
  <si>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</si>
  <si>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</si>
  <si>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</si>
  <si>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</si>
  <si>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</si>
  <si>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</si>
  <si>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</si>
  <si>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</si>
  <si>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</si>
  <si>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</si>
  <si>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</si>
  <si>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</si>
  <si>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</si>
  <si>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</si>
  <si>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</si>
  <si>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</si>
  <si>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</si>
  <si>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</si>
  <si>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</si>
  <si>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</si>
  <si>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</si>
  <si>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</si>
  <si>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</si>
  <si>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</si>
  <si>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</si>
  <si>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</si>
  <si>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</si>
  <si>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</si>
  <si>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</si>
  <si>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</si>
  <si>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</si>
  <si>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</si>
  <si>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</si>
  <si>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</si>
  <si>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</si>
  <si>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</si>
  <si>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</si>
  <si>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</si>
  <si>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</si>
  <si>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</si>
  <si>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</si>
  <si>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</si>
  <si>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</si>
  <si>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</si>
  <si>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</si>
  <si>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</si>
  <si>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</si>
  <si>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</si>
  <si>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</si>
  <si>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</si>
  <si>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</si>
  <si>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</si>
  <si>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</si>
  <si>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</si>
  <si>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</si>
  <si>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</si>
  <si>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</si>
  <si>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</si>
  <si>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</si>
  <si>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</si>
  <si>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</si>
  <si>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</si>
  <si>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</si>
  <si>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</si>
  <si>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</si>
  <si>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</si>
  <si>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</si>
  <si>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</si>
  <si>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</si>
  <si>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</si>
  <si>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</si>
  <si>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</si>
  <si>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</si>
  <si>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</si>
  <si>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</si>
  <si>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</si>
  <si>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</si>
  <si>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</si>
  <si>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</si>
  <si>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</si>
  <si>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</si>
  <si>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</si>
  <si>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</si>
  <si>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</si>
  <si>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</si>
  <si>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</si>
  <si>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</si>
  <si>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</si>
  <si>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</si>
  <si>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</si>
  <si>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</si>
  <si>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</si>
  <si>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</si>
  <si>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</si>
  <si>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</si>
  <si>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</si>
  <si>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</si>
  <si>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</si>
  <si>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</si>
  <si>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</si>
  <si>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</si>
  <si>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</si>
  <si>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</si>
  <si>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</si>
  <si>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</si>
  <si>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</si>
  <si>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</si>
  <si>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</si>
  <si>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</si>
  <si>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</si>
  <si>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</si>
  <si>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</si>
  <si>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</si>
  <si>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</si>
  <si>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</si>
  <si>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</si>
  <si>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</si>
  <si>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</si>
  <si>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</si>
  <si>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</si>
  <si>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</si>
  <si>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</si>
  <si>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</si>
  <si>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</si>
  <si>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</si>
  <si>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</si>
  <si>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</si>
  <si>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</si>
  <si>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</si>
  <si>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</si>
  <si>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</si>
  <si>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</si>
  <si>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</si>
  <si>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</si>
  <si>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</si>
  <si>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</si>
  <si>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</si>
  <si>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</si>
  <si>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</si>
  <si>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</si>
  <si>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</si>
  <si>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</si>
  <si>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</si>
  <si>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</si>
  <si>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</si>
  <si>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</si>
  <si>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</si>
  <si>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</si>
  <si>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</si>
  <si>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</si>
  <si>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</si>
  <si>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</si>
  <si>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</si>
  <si>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</si>
  <si>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</si>
  <si>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</si>
  <si>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</si>
  <si>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</si>
  <si>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</si>
  <si>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</si>
  <si>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</si>
  <si>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</si>
  <si>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</si>
  <si>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</si>
  <si>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</si>
  <si>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</si>
  <si>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</si>
  <si>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</si>
  <si>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</si>
  <si>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</si>
  <si>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</si>
  <si>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</si>
  <si>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</si>
  <si>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</si>
  <si>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</si>
  <si>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</si>
  <si>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</si>
  <si>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</si>
  <si>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</si>
  <si>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</si>
  <si>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</si>
  <si>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</si>
  <si>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</si>
  <si>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</si>
  <si>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</si>
  <si>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</si>
  <si>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</si>
  <si>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</si>
  <si>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</si>
  <si>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</si>
  <si>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</si>
  <si>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</si>
  <si>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</si>
  <si>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</si>
  <si>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</si>
  <si>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</si>
  <si>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</si>
  <si>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</si>
  <si>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</si>
  <si>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</si>
  <si>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</si>
  <si>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</si>
  <si>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</si>
  <si>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</si>
  <si>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</si>
  <si>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</si>
  <si>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</si>
  <si>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</si>
  <si>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</si>
  <si>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</si>
  <si>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</si>
  <si>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</si>
  <si>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</si>
  <si>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</si>
  <si>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</si>
  <si>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</si>
  <si>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</si>
  <si>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</si>
  <si>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</si>
  <si>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</si>
  <si>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</si>
  <si>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</si>
  <si>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</si>
  <si>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</si>
  <si>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</si>
  <si>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</si>
  <si>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</si>
  <si>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</si>
  <si>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</si>
  <si>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</si>
  <si>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</si>
  <si>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</si>
  <si>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</si>
  <si>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</si>
  <si>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</si>
  <si>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</si>
  <si>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</si>
  <si>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</si>
  <si>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</si>
  <si>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</si>
  <si>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</si>
  <si>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</si>
  <si>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</si>
  <si>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</si>
  <si>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</si>
  <si>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</si>
  <si>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</si>
  <si>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</si>
  <si>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</si>
  <si>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</si>
  <si>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</si>
  <si>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</si>
  <si>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</si>
  <si>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</si>
  <si>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</si>
  <si>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</si>
  <si>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</si>
  <si>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</si>
  <si>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</si>
  <si>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</si>
  <si>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</si>
  <si>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</si>
  <si>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</si>
  <si>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</si>
  <si>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</si>
  <si>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</si>
  <si>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</si>
  <si>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</si>
  <si>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</si>
  <si>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</si>
  <si>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</si>
  <si>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</si>
  <si>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</si>
  <si>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</si>
  <si>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</si>
  <si>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</si>
  <si>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</si>
  <si>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</si>
  <si>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</si>
  <si>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</si>
  <si>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</si>
  <si>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</si>
  <si>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</si>
  <si>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</si>
  <si>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</si>
  <si>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</si>
  <si>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</si>
  <si>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</si>
  <si>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</si>
  <si>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</si>
  <si>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</si>
  <si>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</si>
  <si>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</si>
  <si>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</si>
  <si>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</si>
  <si>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</si>
  <si>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</si>
  <si>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</si>
  <si>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</si>
  <si>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</si>
  <si>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</si>
  <si>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</si>
  <si>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</si>
  <si>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</si>
  <si>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</si>
  <si>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</si>
  <si>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</si>
  <si>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</si>
  <si>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</si>
  <si>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</si>
  <si>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</si>
  <si>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</si>
  <si>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</si>
  <si>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</si>
  <si>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</si>
  <si>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</si>
  <si>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</si>
  <si>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</si>
  <si>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</si>
  <si>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</si>
  <si>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</si>
  <si>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</si>
  <si>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</si>
  <si>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</si>
  <si>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</si>
  <si>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</si>
  <si>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</si>
  <si>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</si>
  <si>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</si>
  <si>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</si>
  <si>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</si>
  <si>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</si>
  <si>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</si>
  <si>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</si>
  <si>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</si>
  <si>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</si>
  <si>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</si>
  <si>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</si>
  <si>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</si>
  <si>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</si>
  <si>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</si>
  <si>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</si>
  <si>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</si>
  <si>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</si>
  <si>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</si>
  <si>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</si>
  <si>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</si>
  <si>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</si>
  <si>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</si>
  <si>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</si>
  <si>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</si>
  <si>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</si>
  <si>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</si>
  <si>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</si>
  <si>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</si>
  <si>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</si>
  <si>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</si>
  <si>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</si>
  <si>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</si>
  <si>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</si>
  <si>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</si>
  <si>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</si>
  <si>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</si>
  <si>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</si>
  <si>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</si>
  <si>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</si>
  <si>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</si>
  <si>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</si>
  <si>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</si>
  <si>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</si>
  <si>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</si>
  <si>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</si>
  <si>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</si>
  <si>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</si>
  <si>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</si>
  <si>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</si>
  <si>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</si>
  <si>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</si>
  <si>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</si>
  <si>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</si>
  <si>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</si>
  <si>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</si>
  <si>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</si>
  <si>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</si>
  <si>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</si>
  <si>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</si>
  <si>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</si>
  <si>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</si>
  <si>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</si>
  <si>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</si>
  <si>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</si>
  <si>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</si>
  <si>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</si>
  <si>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</si>
  <si>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</si>
  <si>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</si>
  <si>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</si>
  <si>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</si>
  <si>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</si>
  <si>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</si>
  <si>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</si>
  <si>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</si>
  <si>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</si>
  <si>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</si>
  <si>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</si>
  <si>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</si>
  <si>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</si>
  <si>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</si>
  <si>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</si>
  <si>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</si>
  <si>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</si>
  <si>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</si>
  <si>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</si>
  <si>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</si>
  <si>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</si>
  <si>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</si>
  <si>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</si>
  <si>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</si>
  <si>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</si>
  <si>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</si>
  <si>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</si>
  <si>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</si>
  <si>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</si>
  <si>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</si>
  <si>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</si>
  <si>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</si>
  <si>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</si>
  <si>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</si>
  <si>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</si>
  <si>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</si>
  <si>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</si>
  <si>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</si>
  <si>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</si>
  <si>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</si>
  <si>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</si>
  <si>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</si>
  <si>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</si>
  <si>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</si>
  <si>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</si>
  <si>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</si>
  <si>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</si>
  <si>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</si>
  <si>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</si>
  <si>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</si>
  <si>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</si>
  <si>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</si>
  <si>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</si>
  <si>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</si>
  <si>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</si>
  <si>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</si>
  <si>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</si>
  <si>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</si>
  <si>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</si>
  <si>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</si>
  <si>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</si>
  <si>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</si>
  <si>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</si>
  <si>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</si>
  <si>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</si>
  <si>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</si>
  <si>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</si>
  <si>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</si>
  <si>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</si>
  <si>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</si>
  <si>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</si>
  <si>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</si>
  <si>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</si>
  <si>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</si>
  <si>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</si>
  <si>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</si>
  <si>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</si>
  <si>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</si>
  <si>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</si>
  <si>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</si>
  <si>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</si>
  <si>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</si>
  <si>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</si>
  <si>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</si>
  <si>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</si>
  <si>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</si>
  <si>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</si>
  <si>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</si>
  <si>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</si>
  <si>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</si>
  <si>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</si>
  <si>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</si>
  <si>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</si>
  <si>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</si>
  <si>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</si>
  <si>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</si>
  <si>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</si>
  <si>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</si>
  <si>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</si>
  <si>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</si>
  <si>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</si>
  <si>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</si>
  <si>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</si>
  <si>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</si>
  <si>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</si>
  <si>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</si>
  <si>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</si>
  <si>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</si>
  <si>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</si>
  <si>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</si>
  <si>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</si>
  <si>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</si>
  <si>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</si>
  <si>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</si>
  <si>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</si>
  <si>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</si>
  <si>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</si>
  <si>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</si>
  <si>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</si>
  <si>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</si>
  <si>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</si>
  <si>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</si>
  <si>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</si>
  <si>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</si>
  <si>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</si>
  <si>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</si>
  <si>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</si>
  <si>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</si>
  <si>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</si>
  <si>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</si>
  <si>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</si>
  <si>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</si>
  <si>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</si>
  <si>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</si>
  <si>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</si>
  <si>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</si>
  <si>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</si>
  <si>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</si>
  <si>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</si>
  <si>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</si>
  <si>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</si>
  <si>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</si>
  <si>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</si>
  <si>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</si>
  <si>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</si>
  <si>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</si>
  <si>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</si>
  <si>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</si>
  <si>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</si>
  <si>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</si>
  <si>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</si>
  <si>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</si>
  <si>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</si>
  <si>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</si>
  <si>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</si>
  <si>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</si>
  <si>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</si>
  <si>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</si>
  <si>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</si>
  <si>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</si>
  <si>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</si>
  <si>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</si>
  <si>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</si>
  <si>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</si>
  <si>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</si>
  <si>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</si>
  <si>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</si>
  <si>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</si>
  <si>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</si>
  <si>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</si>
  <si>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</si>
  <si>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</si>
  <si>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</si>
  <si>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</si>
  <si>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</si>
  <si>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</si>
  <si>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</si>
  <si>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</si>
  <si>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</si>
  <si>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</si>
  <si>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</si>
  <si>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</si>
  <si>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</si>
  <si>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</si>
  <si>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</si>
  <si>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</si>
  <si>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</si>
  <si>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</si>
  <si>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</si>
  <si>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</si>
  <si>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</si>
  <si>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</si>
  <si>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</si>
  <si>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</si>
  <si>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</si>
  <si>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</si>
  <si>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</si>
  <si>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</si>
  <si>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</si>
  <si>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</si>
  <si>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</si>
  <si>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</si>
  <si>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</si>
  <si>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</si>
  <si>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</si>
  <si>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</si>
  <si>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</si>
  <si>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</si>
  <si>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</si>
  <si>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</si>
  <si>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</si>
  <si>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</si>
  <si>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</si>
  <si>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</si>
  <si>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</si>
  <si>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</si>
  <si>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</si>
  <si>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</si>
  <si>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</si>
  <si>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</si>
  <si>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</si>
  <si>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</si>
  <si>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</si>
  <si>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</si>
  <si>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</si>
  <si>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</si>
  <si>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</si>
  <si>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</si>
  <si>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</si>
  <si>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</si>
  <si>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</si>
  <si>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</si>
  <si>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</si>
  <si>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</si>
  <si>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</si>
  <si>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</si>
  <si>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</si>
  <si>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</si>
  <si>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</si>
  <si>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</si>
  <si>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</si>
  <si>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</si>
  <si>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</si>
  <si>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</si>
  <si>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</si>
  <si>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</si>
  <si>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</si>
  <si>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</si>
  <si>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</si>
  <si>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</si>
  <si>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</si>
  <si>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</si>
  <si>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</si>
  <si>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</si>
  <si>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</si>
  <si>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</si>
  <si>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</si>
  <si>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</si>
  <si>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</si>
  <si>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</si>
  <si>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</si>
  <si>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</si>
  <si>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</si>
  <si>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</si>
  <si>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</si>
  <si>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</si>
  <si>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</si>
  <si>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</si>
  <si>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</si>
  <si>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</si>
  <si>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</si>
  <si>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</si>
  <si>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</si>
  <si>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</si>
  <si>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</si>
  <si>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</si>
  <si>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</si>
  <si>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</si>
  <si>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</si>
  <si>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</si>
  <si>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</si>
  <si>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</si>
  <si>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</si>
  <si>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</si>
  <si>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</si>
  <si>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</si>
  <si>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</si>
  <si>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</si>
  <si>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</si>
  <si>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</si>
  <si>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</si>
  <si>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</si>
  <si>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</si>
  <si>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</si>
  <si>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</si>
  <si>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</si>
  <si>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</si>
  <si>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</si>
  <si>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</si>
  <si>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</si>
  <si>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</si>
  <si>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</si>
  <si>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</si>
  <si>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</si>
  <si>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</si>
  <si>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</si>
  <si>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</si>
  <si>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</si>
  <si>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</si>
  <si>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</si>
  <si>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</si>
  <si>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</si>
  <si>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</si>
  <si>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</si>
  <si>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</si>
  <si>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</si>
  <si>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</si>
  <si>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</si>
  <si>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</si>
  <si>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</si>
  <si>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</si>
  <si>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</si>
  <si>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</si>
  <si>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</si>
  <si>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</si>
  <si>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</si>
  <si>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</si>
  <si>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</si>
  <si>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</si>
  <si>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</si>
  <si>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</si>
  <si>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</si>
  <si>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</si>
  <si>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</si>
  <si>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</si>
  <si>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</si>
  <si>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</si>
  <si>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</si>
  <si>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</si>
  <si>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</si>
  <si>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</si>
  <si>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</si>
  <si>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</si>
  <si>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</si>
  <si>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</si>
  <si>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</si>
  <si>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</si>
  <si>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</si>
  <si>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</si>
  <si>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</si>
  <si>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</si>
  <si>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</si>
  <si>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</si>
  <si>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</si>
  <si>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</si>
  <si>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</si>
  <si>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</si>
  <si>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</si>
  <si>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</si>
  <si>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</si>
  <si>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</si>
  <si>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</si>
  <si>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</si>
  <si>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</si>
  <si>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</si>
  <si>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</si>
  <si>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</si>
  <si>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</si>
  <si>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</si>
  <si>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</si>
  <si>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</si>
  <si>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</si>
  <si>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</si>
  <si>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</si>
  <si>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</si>
  <si>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</si>
  <si>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</si>
  <si>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</si>
  <si>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</si>
  <si>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</si>
  <si>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</si>
  <si>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</si>
  <si>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</si>
  <si>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</si>
  <si>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</si>
  <si>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</si>
  <si>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</si>
  <si>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</si>
  <si>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</si>
  <si>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</si>
  <si>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</si>
  <si>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</si>
  <si>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</si>
  <si>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</si>
  <si>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</si>
  <si>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</si>
  <si>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</si>
  <si>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</si>
  <si>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</si>
  <si>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</si>
  <si>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</si>
  <si>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</si>
  <si>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</si>
  <si>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</si>
  <si>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</si>
  <si>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</si>
  <si>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</si>
  <si>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</si>
  <si>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</si>
  <si>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</si>
  <si>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</si>
  <si>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</si>
  <si>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</si>
  <si>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</si>
  <si>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</si>
  <si>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</si>
  <si>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</si>
  <si>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</si>
  <si>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</si>
  <si>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</si>
  <si>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</si>
  <si>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</si>
  <si>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</si>
  <si>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</si>
  <si>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</si>
  <si>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</si>
  <si>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</si>
  <si>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</si>
  <si>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</si>
  <si>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</si>
  <si>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</si>
  <si>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</si>
  <si>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</si>
  <si>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</si>
  <si>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</si>
  <si>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</si>
  <si>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</si>
  <si>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</si>
  <si>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</si>
  <si>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</si>
  <si>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</si>
  <si>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</si>
  <si>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</si>
  <si>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</si>
  <si>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</si>
  <si>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</si>
  <si>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</si>
  <si>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</si>
  <si>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</si>
  <si>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</si>
  <si>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</si>
  <si>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</si>
  <si>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</si>
  <si>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</si>
  <si>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</si>
  <si>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</si>
  <si>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</si>
  <si>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</si>
  <si>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</si>
  <si>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</si>
  <si>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</si>
  <si>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</si>
  <si>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</si>
  <si>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</si>
  <si>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</si>
  <si>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</si>
  <si>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</si>
  <si>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</si>
  <si>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</si>
  <si>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</si>
  <si>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</si>
  <si>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</si>
  <si>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</si>
  <si>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</si>
  <si>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</si>
  <si>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</si>
  <si>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</si>
  <si>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</si>
  <si>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</si>
  <si>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</si>
  <si>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</si>
  <si>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</si>
  <si>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</si>
  <si>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</si>
  <si>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</si>
  <si>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</si>
  <si>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</si>
  <si>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</si>
  <si>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</si>
  <si>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</si>
  <si>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</si>
  <si>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</si>
  <si>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</si>
  <si>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</si>
  <si>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</si>
  <si>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</si>
  <si>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</si>
  <si>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</si>
  <si>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</si>
  <si>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</si>
  <si>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</si>
  <si>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</si>
  <si>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</si>
  <si>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</si>
  <si>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</si>
  <si>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</si>
  <si>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</si>
  <si>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</si>
  <si>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</si>
  <si>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</si>
  <si>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</si>
  <si>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</si>
  <si>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</si>
  <si>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</si>
  <si>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</si>
  <si>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</si>
  <si>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</si>
  <si>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</si>
  <si>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</si>
  <si>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</si>
  <si>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</si>
  <si>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</si>
  <si>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</si>
  <si>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</si>
  <si>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</si>
  <si>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</si>
  <si>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</si>
  <si>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</si>
  <si>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</si>
  <si>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</si>
  <si>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</si>
  <si>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</si>
  <si>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</si>
  <si>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</si>
  <si>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</si>
  <si>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</si>
  <si>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</si>
  <si>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</si>
  <si>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</si>
  <si>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</si>
  <si>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</si>
  <si>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</si>
  <si>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</si>
  <si>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</si>
  <si>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</si>
  <si>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</si>
  <si>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</si>
  <si>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</si>
  <si>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</si>
  <si>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</si>
  <si>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</si>
  <si>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</si>
  <si>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</si>
  <si>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</si>
  <si>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</si>
  <si>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</si>
  <si>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</si>
  <si>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</si>
  <si>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</si>
  <si>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</si>
  <si>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</si>
  <si>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</si>
  <si>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</si>
  <si>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</si>
  <si>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</si>
  <si>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</si>
  <si>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</si>
  <si>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</si>
  <si>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</si>
  <si>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</si>
  <si>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</si>
  <si>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</si>
  <si>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</si>
  <si>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</si>
  <si>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</si>
  <si>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</si>
  <si>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</si>
  <si>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</si>
  <si>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</si>
  <si>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</si>
  <si>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</si>
  <si>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</si>
  <si>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</si>
  <si>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</si>
  <si>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</si>
  <si>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</si>
  <si>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</si>
  <si>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</si>
  <si>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</si>
  <si>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</si>
  <si>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</si>
  <si>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</si>
  <si>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</si>
  <si>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</si>
  <si>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</si>
  <si>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</si>
  <si>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</si>
  <si>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</si>
  <si>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</si>
  <si>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</si>
  <si>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</si>
  <si>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</si>
  <si>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</si>
  <si>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</si>
  <si>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</si>
  <si>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</si>
  <si>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</si>
  <si>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</si>
  <si>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</si>
  <si>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</si>
  <si>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</si>
  <si>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</si>
  <si>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</si>
  <si>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</si>
  <si>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</si>
  <si>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</si>
  <si>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</si>
  <si>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</si>
  <si>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</si>
  <si>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</si>
  <si>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</si>
  <si>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</si>
  <si>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</si>
  <si>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</si>
  <si>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</si>
  <si>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</si>
  <si>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</si>
  <si>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</si>
  <si>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</si>
  <si>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</si>
  <si>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</si>
  <si>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</si>
  <si>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</si>
  <si>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</si>
  <si>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</si>
  <si>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</si>
  <si>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</si>
  <si>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</si>
  <si>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</si>
  <si>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</si>
  <si>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</si>
  <si>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</si>
  <si>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</si>
  <si>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</si>
  <si>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</si>
  <si>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</si>
  <si>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</si>
  <si>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</si>
  <si>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</si>
  <si>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</si>
  <si>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</si>
  <si>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</si>
  <si>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</si>
  <si>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</si>
  <si>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</si>
  <si>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</si>
  <si>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</si>
  <si>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</si>
  <si>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</si>
  <si>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</si>
  <si>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</si>
  <si>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</si>
  <si>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</si>
  <si>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</si>
  <si>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</si>
  <si>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</si>
  <si>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</si>
  <si>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</si>
  <si>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</si>
  <si>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</si>
  <si>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</si>
  <si>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</si>
  <si>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</si>
  <si>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</si>
  <si>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</si>
  <si>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</si>
  <si>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</si>
  <si>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</si>
  <si>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</si>
  <si>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</si>
  <si>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</si>
  <si>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</si>
  <si>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</si>
  <si>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</si>
  <si>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</si>
  <si>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</si>
  <si>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</si>
  <si>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</si>
  <si>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</si>
  <si>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</si>
  <si>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</si>
  <si>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</si>
  <si>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</si>
  <si>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</si>
  <si>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</si>
  <si>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</si>
  <si>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</si>
  <si>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</si>
  <si>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</si>
  <si>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</si>
  <si>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</si>
  <si>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</si>
  <si>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</si>
  <si>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</si>
  <si>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</si>
  <si>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</si>
  <si>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</si>
  <si>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</si>
  <si>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</si>
  <si>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</si>
  <si>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</si>
  <si>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</si>
  <si>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</si>
  <si>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</si>
  <si>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</si>
  <si>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</si>
  <si>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</si>
  <si>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</si>
  <si>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</si>
  <si>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</si>
  <si>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</si>
  <si>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</si>
  <si>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</si>
  <si>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</si>
  <si>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</si>
  <si>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</si>
  <si>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</si>
  <si>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</si>
  <si>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</si>
  <si>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</si>
  <si>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</si>
  <si>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</si>
  <si>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</si>
  <si>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</si>
  <si>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</si>
  <si>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</si>
  <si>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</si>
  <si>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</si>
  <si>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</si>
  <si>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</si>
  <si>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</si>
  <si>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</si>
  <si>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</si>
  <si>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</si>
  <si>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</si>
  <si>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</si>
  <si>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</si>
  <si>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</si>
  <si>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</si>
  <si>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</si>
  <si>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</si>
  <si>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</si>
  <si>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</si>
  <si>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</si>
  <si>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</si>
  <si>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</si>
  <si>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</si>
  <si>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</si>
  <si>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</si>
  <si>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</si>
  <si>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</si>
  <si>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</si>
  <si>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</si>
  <si>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</si>
  <si>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</si>
  <si>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</si>
  <si>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</si>
  <si>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</si>
  <si>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</si>
  <si>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</si>
  <si>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</si>
  <si>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</si>
  <si>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</si>
  <si>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</si>
  <si>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</si>
  <si>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</si>
  <si>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</si>
  <si>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</si>
  <si>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</si>
  <si>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</si>
  <si>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</si>
  <si>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</si>
  <si>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</si>
  <si>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</si>
  <si>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</si>
  <si>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</si>
  <si>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</si>
  <si>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</si>
  <si>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</si>
  <si>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</si>
  <si>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</si>
  <si>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</si>
  <si>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</si>
  <si>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</si>
  <si>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</si>
  <si>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</si>
  <si>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</si>
  <si>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</si>
  <si>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</si>
  <si>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</si>
  <si>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</si>
  <si>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</si>
  <si>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</si>
  <si>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</si>
  <si>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</si>
  <si>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</si>
  <si>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</si>
  <si>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</si>
  <si>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</si>
  <si>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</si>
  <si>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</si>
  <si>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</si>
  <si>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</si>
  <si>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</si>
  <si>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</si>
  <si>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</si>
  <si>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</si>
  <si>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</si>
  <si>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</si>
  <si>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</si>
  <si>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</si>
  <si>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</si>
  <si>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</si>
  <si>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</si>
  <si>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</si>
  <si>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</si>
  <si>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</si>
  <si>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</si>
  <si>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</si>
  <si>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</si>
  <si>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</si>
  <si>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</si>
  <si>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</si>
  <si>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</si>
  <si>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</si>
  <si>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</si>
  <si>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</si>
  <si>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</si>
  <si>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</si>
  <si>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</si>
  <si>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</si>
  <si>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</si>
  <si>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</si>
  <si>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</si>
  <si>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</si>
  <si>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</si>
  <si>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</si>
  <si>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</si>
  <si>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</si>
  <si>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</si>
  <si>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</si>
  <si>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</si>
  <si>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</si>
  <si>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</si>
  <si>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</si>
  <si>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</si>
  <si>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</si>
  <si>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</si>
  <si>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</si>
  <si>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</si>
  <si>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</si>
  <si>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</si>
  <si>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</si>
  <si>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</si>
  <si>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</si>
  <si>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</si>
  <si>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</si>
  <si>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</si>
  <si>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</si>
  <si>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</si>
  <si>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</si>
  <si>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</si>
  <si>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</si>
  <si>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</si>
  <si>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</si>
  <si>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</si>
  <si>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</si>
  <si>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</si>
  <si>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</si>
  <si>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</si>
  <si>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</si>
  <si>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</si>
  <si>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</si>
  <si>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</si>
  <si>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</si>
  <si>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</si>
  <si>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</si>
  <si>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</si>
  <si>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</si>
  <si>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</si>
  <si>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</si>
  <si>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</si>
  <si>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</si>
  <si>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</si>
  <si>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</si>
  <si>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</si>
  <si>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</si>
  <si>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</si>
  <si>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</si>
  <si>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</si>
  <si>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</si>
  <si>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</si>
  <si>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</si>
  <si>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</si>
  <si>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</si>
  <si>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</si>
  <si>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</si>
  <si>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</si>
  <si>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</si>
  <si>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</si>
  <si>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</si>
  <si>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</si>
  <si>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</si>
  <si>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</si>
  <si>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</si>
  <si>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</si>
  <si>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</si>
  <si>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</si>
  <si>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</si>
  <si>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</si>
  <si>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</si>
  <si>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</si>
  <si>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</si>
  <si>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</si>
  <si>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</si>
  <si>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</si>
  <si>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</si>
  <si>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</si>
  <si>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</si>
  <si>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</si>
  <si>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</si>
  <si>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</si>
  <si>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</si>
  <si>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</si>
  <si>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</si>
  <si>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</si>
  <si>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</si>
  <si>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</si>
  <si>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</si>
  <si>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</si>
  <si>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</si>
  <si>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</si>
  <si>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</si>
  <si>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</si>
  <si>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</si>
  <si>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</si>
  <si>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</si>
  <si>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</si>
  <si>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</si>
  <si>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</si>
  <si>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</si>
  <si>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</si>
  <si>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</si>
  <si>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</si>
  <si>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</si>
  <si>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</si>
  <si>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</si>
  <si>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</si>
  <si>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</si>
  <si>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</si>
  <si>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</si>
  <si>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</si>
  <si>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</si>
  <si>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</si>
  <si>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</si>
  <si>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</si>
  <si>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</si>
  <si>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</si>
  <si>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</si>
  <si>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</si>
  <si>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</si>
  <si>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</si>
  <si>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</si>
  <si>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</si>
  <si>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</si>
  <si>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</si>
  <si>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</si>
  <si>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</si>
  <si>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</si>
  <si>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</si>
  <si>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</si>
  <si>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</si>
  <si>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</si>
  <si>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</si>
  <si>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</si>
  <si>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</si>
  <si>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</si>
  <si>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</si>
  <si>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</si>
  <si>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</si>
  <si>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</si>
  <si>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</si>
  <si>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</si>
  <si>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</si>
  <si>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</si>
  <si>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</si>
  <si>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</si>
  <si>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</si>
  <si>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</si>
  <si>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</si>
  <si>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</si>
  <si>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</si>
  <si>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</si>
  <si>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</si>
  <si>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</si>
  <si>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</si>
  <si>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</si>
  <si>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</si>
  <si>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</si>
  <si>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</si>
  <si>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</si>
  <si>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</si>
  <si>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</si>
  <si>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</si>
  <si>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</si>
  <si>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</si>
  <si>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</si>
  <si>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</si>
  <si>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</si>
  <si>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</si>
  <si>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</si>
  <si>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</si>
  <si>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</si>
  <si>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</si>
  <si>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</si>
  <si>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</si>
  <si>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</si>
  <si>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</si>
  <si>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</si>
  <si>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</si>
  <si>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</si>
  <si>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</si>
  <si>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</si>
  <si>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</si>
  <si>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</si>
  <si>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</si>
  <si>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</si>
  <si>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</si>
  <si>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</si>
  <si>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</si>
  <si>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</si>
  <si>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</si>
  <si>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</si>
  <si>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</si>
  <si>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</si>
  <si>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</si>
  <si>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</si>
  <si>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</si>
  <si>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</si>
  <si>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</si>
  <si>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</si>
  <si>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</si>
  <si>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</si>
  <si>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</si>
  <si>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</si>
  <si>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</si>
  <si>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</si>
  <si>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</si>
  <si>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</si>
  <si>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</si>
  <si>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</si>
  <si>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</si>
  <si>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</si>
  <si>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</si>
  <si>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</si>
  <si>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</si>
  <si>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</si>
  <si>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</si>
  <si>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</si>
  <si>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</si>
  <si>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</si>
  <si>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</si>
  <si>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</si>
  <si>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</si>
  <si>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</si>
  <si>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</si>
  <si>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</si>
  <si>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</si>
  <si>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</si>
  <si>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</si>
  <si>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</si>
  <si>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</si>
  <si>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</si>
  <si>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</si>
  <si>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</si>
  <si>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</si>
  <si>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</si>
  <si>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</si>
  <si>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</si>
  <si>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</si>
  <si>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</si>
  <si>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</si>
  <si>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</si>
  <si>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</si>
  <si>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</si>
  <si>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</si>
  <si>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</si>
  <si>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</si>
  <si>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</si>
  <si>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</si>
  <si>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</si>
  <si>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</si>
  <si>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</si>
  <si>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</si>
  <si>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</si>
  <si>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</si>
  <si>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</si>
  <si>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</si>
  <si>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</si>
  <si>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</si>
  <si>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</si>
  <si>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</si>
  <si>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</si>
  <si>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</si>
  <si>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</si>
  <si>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</si>
  <si>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</si>
  <si>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</si>
  <si>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</si>
  <si>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</si>
  <si>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</si>
  <si>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</si>
  <si>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</si>
  <si>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</si>
  <si>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</si>
  <si>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</si>
  <si>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</si>
  <si>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</si>
  <si>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</si>
  <si>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</si>
  <si>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</si>
  <si>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</si>
  <si>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</si>
  <si>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</si>
  <si>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</si>
  <si>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</si>
  <si>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</si>
  <si>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</si>
  <si>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</si>
  <si>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</si>
  <si>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</si>
  <si>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</si>
  <si>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</si>
  <si>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</si>
  <si>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</si>
  <si>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</si>
  <si>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</si>
  <si>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</si>
  <si>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</si>
  <si>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</si>
  <si>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</si>
  <si>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</si>
  <si>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</si>
  <si>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</si>
  <si>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</si>
  <si>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</si>
  <si>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</si>
  <si>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</si>
  <si>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</si>
  <si>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</si>
  <si>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</si>
  <si>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</si>
  <si>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</si>
  <si>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</si>
  <si>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</si>
  <si>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</si>
  <si>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</si>
  <si>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</si>
  <si>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</si>
  <si>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</si>
  <si>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</si>
  <si>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</si>
  <si>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</si>
  <si>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</si>
  <si>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</si>
  <si>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</si>
  <si>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</si>
  <si>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</si>
  <si>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</si>
  <si>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</si>
  <si>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</si>
  <si>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</si>
  <si>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</si>
  <si>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</si>
  <si>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</si>
  <si>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</si>
  <si>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</si>
  <si>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</si>
  <si>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</si>
  <si>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</si>
  <si>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</si>
  <si>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</si>
  <si>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</si>
  <si>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</si>
  <si>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</si>
  <si>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</si>
  <si>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</si>
  <si>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</si>
  <si>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</si>
  <si>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</si>
  <si>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</si>
  <si>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</si>
  <si>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</si>
  <si>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</si>
  <si>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</si>
  <si>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</si>
  <si>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</si>
  <si>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</si>
  <si>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</si>
  <si>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</si>
  <si>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</si>
  <si>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</si>
  <si>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</si>
  <si>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</si>
  <si>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</si>
  <si>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</si>
  <si>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</si>
  <si>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</si>
  <si>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</si>
  <si>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</si>
  <si>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</si>
  <si>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</si>
  <si>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</si>
  <si>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</si>
  <si>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</si>
  <si>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</si>
  <si>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</si>
  <si>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</si>
  <si>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</si>
  <si>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</si>
  <si>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</si>
  <si>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</si>
  <si>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</si>
  <si>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</si>
  <si>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</si>
  <si>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</si>
  <si>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</si>
  <si>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</si>
  <si>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</si>
  <si>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</si>
  <si>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</si>
  <si>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</si>
  <si>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</si>
  <si>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</si>
  <si>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</si>
  <si>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</si>
  <si>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</si>
  <si>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</si>
  <si>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</si>
  <si>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</si>
  <si>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</si>
  <si>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</si>
  <si>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</si>
  <si>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</si>
  <si>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</si>
  <si>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</si>
  <si>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</si>
  <si>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</si>
  <si>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</si>
  <si>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</si>
  <si>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</si>
  <si>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</si>
  <si>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</si>
  <si>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</si>
  <si>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</si>
  <si>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</si>
  <si>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</si>
  <si>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</si>
  <si>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</si>
  <si>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</si>
  <si>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</si>
  <si>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</si>
  <si>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</si>
  <si>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</si>
  <si>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</si>
  <si>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</si>
  <si>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</si>
  <si>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</si>
  <si>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</si>
  <si>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</si>
  <si>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</si>
  <si>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</si>
  <si>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</si>
  <si>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</si>
  <si>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</si>
  <si>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</si>
  <si>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</si>
  <si>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</si>
  <si>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</si>
  <si>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</si>
  <si>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</si>
  <si>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</si>
  <si>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</si>
  <si>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</si>
  <si>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</si>
  <si>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</si>
  <si>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</si>
  <si>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</si>
  <si>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</si>
  <si>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</si>
  <si>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</si>
  <si>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</si>
  <si>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</si>
  <si>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</si>
  <si>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</si>
  <si>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</si>
  <si>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</si>
  <si>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</si>
  <si>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</si>
  <si>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</si>
  <si>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</si>
  <si>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</si>
  <si>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</si>
  <si>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</si>
  <si>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</si>
  <si>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</si>
  <si>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</si>
  <si>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</si>
  <si>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</si>
  <si>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</si>
  <si>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</si>
  <si>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</si>
  <si>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</si>
  <si>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</si>
  <si>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</si>
  <si>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</si>
  <si>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</si>
  <si>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</si>
  <si>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</si>
  <si>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</si>
  <si>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</si>
  <si>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</si>
  <si>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</si>
  <si>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</si>
  <si>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</si>
  <si>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</si>
  <si>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</si>
  <si>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</si>
  <si>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</si>
  <si>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</si>
  <si>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</si>
  <si>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</si>
  <si>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</si>
  <si>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</si>
  <si>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</si>
  <si>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</si>
  <si>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</si>
  <si>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</si>
  <si>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</si>
  <si>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</si>
  <si>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</si>
  <si>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</si>
  <si>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</si>
  <si>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</si>
  <si>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</si>
  <si>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</si>
  <si>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</si>
  <si>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</si>
  <si>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</si>
  <si>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</si>
  <si>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</si>
  <si>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</si>
  <si>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</si>
  <si>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</si>
  <si>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</si>
  <si>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</si>
  <si>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</si>
  <si>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</si>
  <si>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</si>
  <si>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</si>
  <si>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</si>
  <si>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</si>
  <si>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</si>
  <si>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</si>
  <si>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</si>
  <si>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</si>
  <si>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</si>
  <si>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</si>
  <si>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</si>
  <si>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</si>
  <si>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</si>
  <si>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</si>
  <si>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</si>
  <si>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</si>
  <si>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</si>
  <si>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</si>
  <si>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</si>
  <si>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</si>
  <si>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</si>
  <si>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</si>
  <si>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</si>
  <si>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</si>
  <si>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</si>
  <si>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</si>
  <si>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</si>
  <si>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</si>
  <si>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</si>
  <si>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</si>
  <si>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</si>
  <si>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</si>
  <si>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</si>
  <si>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</si>
  <si>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</si>
  <si>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</si>
  <si>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</si>
  <si>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</si>
  <si>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</si>
  <si>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</si>
  <si>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</si>
  <si>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</si>
  <si>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</si>
  <si>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</si>
  <si>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</si>
  <si>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</si>
  <si>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</si>
  <si>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</si>
  <si>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</si>
  <si>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</si>
  <si>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</si>
  <si>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</si>
  <si>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</si>
  <si>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</si>
  <si>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</si>
  <si>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</si>
  <si>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</si>
  <si>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</si>
  <si>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</si>
  <si>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</si>
  <si>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</si>
  <si>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</si>
  <si>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</si>
  <si>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</si>
  <si>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</si>
  <si>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</si>
  <si>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</si>
  <si>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</si>
  <si>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</si>
  <si>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</si>
  <si>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</si>
  <si>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</si>
  <si>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</si>
  <si>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</si>
  <si>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</si>
  <si>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</si>
  <si>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</si>
  <si>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</si>
  <si>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</si>
  <si>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</si>
  <si>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</si>
  <si>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</si>
  <si>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</si>
  <si>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</si>
  <si>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</si>
  <si>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</si>
  <si>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</si>
  <si>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</si>
  <si>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</si>
  <si>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</si>
  <si>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</si>
  <si>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</si>
  <si>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</si>
  <si>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</si>
  <si>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</si>
  <si>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</si>
  <si>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</si>
  <si>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</si>
  <si>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</si>
  <si>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</si>
  <si>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</si>
  <si>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</si>
  <si>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</si>
  <si>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</si>
  <si>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</si>
  <si>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</si>
  <si>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</si>
  <si>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</si>
  <si>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</si>
  <si>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</si>
  <si>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</si>
  <si>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</si>
  <si>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</si>
  <si>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</si>
  <si>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</si>
  <si>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</si>
  <si>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</si>
  <si>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</si>
  <si>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</si>
  <si>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</si>
  <si>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</si>
  <si>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</si>
  <si>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</si>
  <si>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</si>
  <si>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</si>
  <si>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</si>
  <si>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</si>
  <si>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</si>
  <si>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</si>
  <si>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</si>
  <si>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</si>
  <si>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</si>
  <si>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</si>
  <si>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</si>
  <si>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</si>
  <si>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</si>
  <si>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</si>
  <si>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</si>
  <si>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</si>
  <si>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</si>
  <si>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</si>
  <si>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</si>
  <si>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</si>
  <si>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</si>
  <si>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</si>
  <si>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</si>
  <si>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</si>
  <si>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</si>
  <si>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</si>
  <si>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</si>
  <si>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</si>
  <si>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</si>
  <si>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</si>
  <si>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</si>
  <si>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</si>
  <si>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</si>
  <si>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</si>
  <si>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</si>
  <si>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</si>
  <si>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</si>
  <si>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</si>
  <si>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</si>
  <si>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</si>
  <si>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</si>
  <si>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</si>
  <si>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</si>
  <si>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</si>
  <si>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</si>
  <si>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</si>
  <si>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</si>
  <si>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</si>
  <si>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</si>
  <si>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</si>
  <si>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</si>
  <si>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</si>
  <si>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</si>
  <si>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</si>
  <si>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</si>
  <si>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</si>
  <si>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</si>
  <si>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</si>
  <si>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</si>
  <si>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</si>
  <si>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</si>
  <si>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</si>
  <si>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</si>
  <si>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</si>
  <si>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</si>
  <si>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</si>
  <si>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</si>
  <si>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</si>
  <si>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</si>
  <si>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</si>
  <si>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</si>
  <si>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</si>
  <si>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</si>
  <si>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</si>
  <si>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</si>
  <si>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</si>
  <si>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</si>
  <si>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</si>
  <si>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</si>
  <si>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</si>
  <si>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</si>
  <si>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</si>
  <si>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</si>
  <si>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</si>
  <si>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</si>
  <si>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</si>
  <si>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</si>
  <si>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</si>
  <si>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</si>
  <si>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</si>
  <si>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</si>
  <si>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</si>
  <si>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</si>
  <si>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</si>
  <si>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</si>
  <si>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</si>
  <si>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</si>
  <si>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</si>
  <si>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</si>
  <si>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</si>
  <si>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</si>
  <si>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</si>
  <si>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</si>
  <si>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</si>
  <si>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</si>
  <si>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</si>
  <si>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</si>
  <si>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</si>
  <si>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</si>
  <si>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</si>
  <si>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</si>
  <si>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</si>
  <si>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</si>
  <si>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</si>
  <si>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</si>
  <si>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</si>
  <si>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</si>
  <si>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</si>
  <si>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</si>
  <si>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</si>
  <si>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</si>
  <si>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</si>
  <si>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</si>
  <si>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</si>
  <si>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</si>
  <si>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</si>
  <si>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</si>
  <si>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</si>
  <si>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</si>
  <si>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</si>
  <si>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</si>
  <si>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</si>
  <si>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</si>
  <si>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</si>
  <si>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</si>
  <si>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</si>
  <si>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</si>
  <si>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</si>
  <si>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</si>
  <si>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</si>
  <si>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</si>
  <si>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</si>
  <si>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</si>
  <si>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</si>
  <si>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</si>
  <si>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</si>
  <si>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</si>
  <si>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</si>
  <si>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</si>
  <si>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</si>
  <si>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</si>
  <si>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</si>
  <si>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</si>
  <si>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</si>
  <si>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</si>
  <si>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</si>
  <si>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</si>
  <si>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</si>
  <si>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</si>
  <si>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</si>
  <si>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</si>
  <si>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</si>
  <si>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</si>
  <si>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</si>
  <si>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</si>
  <si>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</si>
  <si>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</si>
  <si>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</si>
  <si>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</si>
  <si>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</si>
  <si>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</si>
  <si>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</si>
  <si>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</si>
  <si>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</si>
  <si>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</si>
  <si>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</si>
  <si>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</si>
  <si>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</si>
  <si>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</si>
  <si>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</si>
  <si>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</si>
  <si>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</si>
  <si>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</si>
  <si>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</si>
  <si>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</si>
  <si>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</si>
  <si>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</si>
  <si>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</si>
  <si>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</si>
  <si>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</si>
  <si>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</si>
  <si>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</si>
  <si>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</si>
  <si>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</si>
  <si>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</si>
  <si>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</si>
  <si>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</si>
  <si>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</si>
  <si>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</si>
  <si>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</si>
  <si>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</si>
  <si>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</si>
  <si>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</si>
  <si>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</si>
  <si>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</si>
  <si>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</si>
  <si>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</si>
  <si>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</si>
  <si>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</si>
  <si>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</si>
  <si>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</si>
  <si>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</si>
  <si>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</si>
  <si>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</si>
  <si>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</si>
  <si>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</si>
  <si>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</si>
  <si>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</si>
  <si>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</si>
  <si>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</si>
  <si>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</si>
  <si>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</si>
  <si>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</si>
  <si>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</si>
  <si>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</si>
  <si>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</si>
  <si>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</si>
  <si>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</si>
  <si>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</si>
  <si>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</si>
  <si>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</si>
  <si>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</si>
  <si>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</si>
  <si>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</si>
  <si>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</si>
  <si>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</si>
  <si>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</si>
  <si>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</si>
  <si>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</si>
  <si>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</si>
  <si>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</si>
  <si>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</si>
  <si>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</si>
  <si>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</si>
  <si>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</si>
  <si>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</si>
  <si>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</si>
  <si>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</si>
  <si>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</si>
  <si>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</si>
  <si>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</si>
  <si>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</si>
  <si>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</si>
  <si>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</si>
  <si>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</si>
  <si>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</si>
  <si>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</si>
  <si>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</si>
  <si>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</si>
  <si>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</si>
  <si>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</si>
  <si>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</si>
  <si>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</si>
  <si>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</si>
  <si>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</si>
  <si>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</si>
  <si>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</si>
  <si>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</si>
  <si>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</si>
  <si>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</si>
  <si>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</si>
  <si>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</si>
  <si>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</si>
  <si>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</si>
  <si>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</si>
  <si>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</si>
  <si>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</si>
  <si>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</si>
  <si>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</si>
  <si>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</si>
  <si>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</si>
  <si>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</si>
  <si>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</si>
  <si>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</si>
  <si>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</si>
  <si>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</si>
  <si>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</si>
  <si>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</si>
  <si>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</si>
  <si>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</si>
  <si>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</si>
  <si>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</si>
  <si>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</si>
  <si>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</si>
  <si>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</si>
  <si>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</si>
  <si>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</si>
  <si>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</si>
  <si>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</si>
  <si>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</si>
  <si>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</si>
  <si>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</si>
  <si>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</si>
  <si>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</si>
  <si>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</si>
  <si>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</si>
  <si>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</si>
  <si>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</si>
  <si>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</si>
  <si>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</si>
  <si>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</si>
  <si>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</si>
  <si>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</si>
  <si>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</si>
  <si>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</si>
  <si>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</si>
  <si>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</si>
  <si>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</si>
  <si>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</si>
  <si>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</si>
  <si>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</si>
  <si>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</si>
  <si>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</si>
  <si>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</si>
  <si>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</si>
  <si>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</si>
  <si>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</si>
  <si>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</si>
  <si>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</si>
  <si>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</si>
  <si>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</si>
  <si>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</si>
  <si>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</si>
  <si>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</si>
  <si>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</si>
  <si>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</si>
  <si>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</si>
  <si>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</si>
  <si>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</si>
  <si>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</si>
  <si>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</si>
  <si>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</si>
  <si>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</si>
  <si>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</si>
  <si>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</si>
  <si>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</si>
  <si>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</si>
  <si>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</si>
  <si>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</si>
  <si>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</si>
  <si>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</si>
  <si>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</si>
  <si>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</si>
  <si>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</si>
  <si>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</si>
  <si>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</si>
  <si>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</si>
  <si>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</si>
  <si>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</si>
  <si>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</si>
  <si>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</si>
  <si>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</si>
  <si>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</si>
  <si>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</si>
  <si>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</si>
  <si>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</si>
  <si>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</si>
  <si>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</si>
  <si>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</si>
  <si>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</si>
  <si>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</si>
  <si>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</si>
  <si>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</si>
  <si>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</si>
  <si>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</si>
  <si>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</si>
  <si>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</si>
  <si>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</si>
  <si>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</si>
  <si>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</si>
  <si>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</si>
  <si>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</si>
  <si>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</si>
  <si>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</si>
  <si>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</si>
  <si>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</si>
  <si>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</si>
  <si>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</si>
  <si>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</si>
  <si>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</si>
  <si>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</si>
  <si>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</si>
  <si>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</si>
  <si>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</si>
  <si>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</si>
  <si>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</si>
  <si>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</si>
  <si>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</si>
  <si>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</si>
  <si>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</si>
  <si>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</si>
  <si>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</si>
  <si>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</si>
  <si>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</si>
  <si>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</si>
  <si>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</si>
  <si>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</si>
  <si>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</si>
  <si>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</si>
  <si>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</si>
  <si>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</si>
  <si>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</si>
  <si>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</si>
  <si>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</si>
  <si>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</si>
  <si>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</si>
  <si>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</si>
  <si>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</si>
  <si>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</si>
  <si>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</si>
  <si>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</si>
  <si>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</si>
  <si>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</si>
  <si>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</si>
  <si>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</si>
  <si>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</si>
  <si>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</si>
  <si>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</si>
  <si>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</si>
  <si>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</si>
  <si>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</si>
  <si>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</si>
  <si>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</si>
  <si>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</si>
  <si>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</si>
  <si>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</si>
  <si>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</si>
  <si>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</si>
  <si>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</si>
  <si>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</si>
  <si>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</si>
  <si>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</si>
  <si>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</si>
  <si>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</si>
  <si>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</si>
  <si>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</si>
  <si>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</si>
  <si>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</si>
  <si>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</si>
  <si>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</si>
  <si>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</si>
  <si>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</si>
  <si>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</si>
  <si>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</si>
  <si>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</si>
  <si>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</si>
  <si>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</si>
  <si>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</si>
  <si>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</si>
  <si>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</si>
  <si>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</si>
  <si>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</si>
  <si>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</si>
  <si>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</si>
  <si>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</si>
  <si>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</si>
  <si>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</si>
  <si>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</si>
  <si>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</si>
  <si>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</si>
  <si>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</si>
  <si>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</si>
  <si>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</si>
  <si>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</si>
  <si>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</si>
  <si>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</si>
  <si>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</si>
  <si>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</si>
  <si>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</si>
  <si>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</si>
  <si>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</si>
  <si>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</si>
  <si>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</si>
  <si>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</si>
  <si>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</si>
  <si>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</si>
  <si>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</si>
  <si>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</si>
  <si>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</si>
  <si>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</si>
  <si>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</si>
  <si>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</si>
  <si>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</si>
  <si>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</si>
  <si>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</si>
  <si>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</si>
  <si>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</si>
  <si>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</si>
  <si>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</si>
  <si>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</si>
  <si>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</si>
  <si>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</si>
  <si>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</si>
  <si>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</si>
  <si>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</si>
  <si>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</si>
  <si>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</si>
  <si>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</si>
  <si>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</si>
  <si>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</si>
  <si>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</si>
  <si>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</si>
  <si>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</si>
  <si>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</si>
  <si>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</si>
  <si>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</si>
  <si>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</si>
  <si>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</si>
  <si>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</si>
  <si>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</si>
  <si>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</si>
  <si>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</si>
  <si>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</si>
  <si>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</si>
  <si>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</si>
  <si>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</si>
  <si>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</si>
  <si>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</si>
  <si>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</si>
  <si>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</si>
  <si>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</si>
  <si>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</si>
  <si>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</si>
  <si>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</si>
  <si>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</si>
  <si>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</si>
  <si>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</si>
  <si>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</si>
  <si>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</si>
  <si>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</si>
  <si>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</si>
  <si>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</si>
  <si>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</si>
  <si>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</si>
  <si>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</si>
  <si>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</si>
  <si>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</si>
  <si>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</si>
  <si>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</si>
  <si>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</si>
  <si>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</si>
  <si>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</si>
  <si>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</si>
  <si>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</si>
  <si>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</si>
  <si>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</si>
  <si>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</si>
  <si>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</si>
  <si>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</si>
  <si>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</si>
  <si>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</si>
  <si>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</si>
  <si>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</si>
  <si>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</si>
  <si>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</si>
  <si>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</si>
  <si>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</si>
  <si>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</si>
  <si>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</si>
  <si>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</si>
  <si>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</si>
  <si>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</si>
  <si>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</si>
  <si>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</si>
  <si>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</si>
  <si>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</si>
  <si>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</si>
  <si>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</si>
  <si>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</si>
  <si>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</si>
  <si>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</si>
  <si>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</si>
  <si>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</si>
  <si>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</si>
  <si>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</si>
  <si>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</si>
  <si>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</si>
  <si>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</si>
  <si>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</si>
  <si>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</si>
  <si>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</si>
  <si>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</si>
  <si>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</si>
  <si>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</si>
  <si>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</si>
  <si>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</si>
  <si>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</si>
  <si>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</si>
  <si>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</si>
  <si>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</si>
  <si>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</si>
  <si>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</si>
  <si>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</si>
  <si>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</si>
  <si>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</si>
  <si>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</si>
  <si>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</si>
  <si>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</si>
  <si>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</si>
  <si>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</si>
  <si>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</si>
  <si>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</si>
  <si>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</si>
  <si>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</si>
  <si>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</si>
  <si>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</si>
  <si>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</si>
  <si>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</si>
  <si>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</si>
  <si>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</si>
  <si>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</si>
  <si>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</si>
  <si>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</si>
  <si>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</si>
  <si>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</si>
  <si>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</si>
  <si>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</si>
  <si>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</si>
  <si>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</si>
  <si>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</si>
  <si>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</si>
  <si>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</si>
  <si>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</si>
  <si>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</si>
  <si>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</si>
  <si>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</si>
  <si>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</si>
  <si>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</si>
  <si>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</si>
  <si>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</si>
  <si>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</si>
  <si>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</si>
  <si>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</si>
  <si>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</si>
  <si>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</si>
  <si>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</si>
  <si>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</si>
  <si>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</si>
  <si>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</si>
  <si>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</si>
  <si>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</si>
  <si>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</si>
  <si>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</si>
  <si>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</si>
  <si>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</si>
  <si>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</si>
  <si>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</si>
  <si>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</si>
  <si>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</si>
  <si>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</si>
  <si>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</si>
  <si>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</si>
  <si>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</si>
  <si>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</si>
  <si>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</si>
  <si>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</si>
  <si>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</si>
  <si>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</si>
  <si>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</si>
  <si>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</si>
  <si>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</si>
  <si>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</si>
  <si>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</si>
  <si>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</si>
  <si>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</si>
  <si>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</si>
  <si>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</si>
  <si>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</si>
  <si>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</si>
  <si>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</si>
  <si>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</si>
  <si>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</si>
  <si>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</si>
  <si>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</si>
  <si>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</si>
  <si>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</si>
  <si>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</si>
  <si>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</si>
  <si>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</si>
  <si>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</si>
  <si>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</si>
  <si>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</si>
  <si>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</si>
  <si>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</si>
  <si>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</si>
  <si>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</si>
  <si>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</si>
  <si>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</si>
  <si>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</si>
  <si>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</si>
  <si>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</si>
  <si>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</si>
  <si>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</si>
  <si>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</si>
  <si>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</si>
  <si>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</si>
  <si>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</si>
  <si>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</si>
  <si>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</si>
  <si>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</si>
  <si>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</si>
  <si>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</si>
  <si>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</si>
  <si>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</si>
  <si>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</si>
  <si>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</si>
  <si>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</si>
  <si>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</si>
  <si>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</si>
  <si>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</si>
  <si>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</si>
  <si>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</si>
  <si>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</si>
  <si>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</si>
  <si>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</si>
  <si>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</si>
  <si>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</si>
  <si>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</si>
  <si>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</si>
  <si>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</si>
  <si>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</si>
  <si>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</si>
  <si>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</si>
  <si>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</si>
  <si>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</si>
  <si>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</si>
  <si>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</si>
  <si>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</si>
  <si>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</si>
  <si>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</si>
  <si>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</si>
  <si>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</si>
  <si>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</si>
  <si>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</si>
  <si>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</si>
  <si>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</si>
  <si>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</si>
  <si>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</si>
  <si>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</si>
  <si>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</si>
  <si>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</si>
  <si>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</si>
  <si>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</si>
  <si>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</si>
  <si>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</si>
  <si>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</si>
  <si>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</si>
  <si>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</si>
  <si>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</si>
  <si>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</si>
  <si>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</si>
  <si>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</si>
  <si>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</si>
  <si>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</si>
  <si>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</si>
  <si>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</si>
  <si>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</si>
  <si>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</si>
  <si>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</si>
  <si>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</si>
  <si>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</si>
  <si>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</si>
  <si>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</si>
  <si>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</si>
  <si>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</si>
  <si>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</si>
  <si>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</si>
  <si>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</si>
  <si>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</si>
  <si>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</si>
  <si>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</si>
  <si>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</si>
  <si>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</si>
  <si>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</si>
  <si>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</si>
  <si>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</si>
  <si>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</si>
  <si>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</si>
  <si>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</si>
  <si>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</si>
  <si>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</si>
  <si>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</si>
  <si>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</si>
  <si>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</si>
  <si>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</si>
  <si>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</si>
  <si>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</si>
  <si>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</si>
  <si>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</si>
  <si>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</si>
  <si>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</si>
  <si>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</si>
  <si>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</si>
  <si>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</si>
  <si>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</si>
  <si>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</si>
  <si>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</si>
  <si>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</si>
  <si>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</si>
  <si>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</si>
  <si>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</si>
  <si>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</si>
  <si>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</si>
  <si>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</si>
  <si>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</si>
  <si>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</si>
  <si>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</si>
  <si>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</si>
  <si>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</si>
  <si>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</si>
  <si>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</si>
  <si>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</si>
  <si>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</si>
  <si>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</si>
  <si>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</si>
  <si>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</si>
  <si>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</si>
  <si>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</si>
  <si>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</si>
  <si>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</si>
  <si>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</si>
  <si>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</si>
  <si>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</si>
  <si>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</si>
  <si>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</si>
  <si>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</si>
  <si>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</si>
  <si>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</si>
  <si>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</si>
  <si>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</si>
  <si>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</si>
  <si>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</si>
  <si>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</si>
  <si>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</si>
  <si>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</si>
  <si>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</si>
  <si>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</si>
  <si>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</si>
  <si>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</si>
  <si>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</si>
  <si>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</si>
  <si>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</si>
  <si>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</si>
  <si>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</si>
  <si>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</si>
  <si>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</si>
  <si>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</si>
  <si>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</si>
  <si>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</si>
  <si>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</si>
  <si>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</si>
  <si>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</si>
  <si>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</si>
  <si>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</si>
  <si>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</si>
  <si>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</si>
  <si>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</si>
  <si>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</si>
  <si>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</si>
  <si>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</si>
  <si>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</si>
  <si>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</si>
  <si>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</si>
  <si>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</si>
  <si>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</si>
  <si>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</si>
  <si>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</si>
  <si>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</si>
  <si>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</si>
  <si>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</si>
  <si>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</si>
  <si>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</si>
  <si>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</si>
  <si>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</si>
  <si>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</si>
  <si>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</si>
  <si>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</si>
  <si>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</si>
  <si>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</si>
  <si>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</si>
  <si>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</si>
  <si>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</si>
  <si>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</si>
  <si>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</si>
  <si>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</si>
  <si>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</si>
  <si>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</si>
  <si>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</si>
  <si>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</si>
  <si>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</si>
  <si>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</si>
  <si>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</si>
  <si>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</si>
  <si>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</si>
  <si>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</si>
  <si>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</si>
  <si>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</si>
  <si>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</si>
  <si>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</si>
  <si>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</si>
  <si>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</si>
  <si>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</si>
  <si>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</si>
  <si>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</si>
  <si>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</si>
  <si>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</si>
  <si>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</si>
  <si>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</si>
  <si>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</si>
  <si>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</si>
  <si>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</si>
  <si>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</si>
  <si>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</si>
  <si>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</si>
  <si>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</si>
  <si>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</si>
  <si>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</si>
  <si>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</si>
  <si>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</si>
  <si>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</si>
  <si>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</si>
  <si>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</si>
  <si>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</si>
  <si>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</si>
  <si>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</si>
  <si>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</si>
  <si>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</si>
  <si>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</si>
  <si>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</si>
  <si>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</si>
  <si>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</si>
  <si>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</si>
  <si>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</si>
  <si>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</si>
  <si>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</si>
  <si>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</si>
  <si>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</si>
  <si>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</si>
  <si>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</si>
  <si>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</si>
  <si>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</si>
  <si>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</si>
  <si>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</si>
  <si>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</si>
  <si>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</si>
  <si>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</si>
  <si>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</si>
  <si>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</si>
  <si>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</si>
  <si>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</si>
  <si>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</si>
  <si>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</si>
  <si>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</si>
  <si>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</si>
  <si>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</si>
  <si>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</si>
  <si>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</si>
  <si>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</si>
  <si>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</si>
  <si>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</si>
  <si>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</si>
  <si>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</si>
  <si>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</si>
  <si>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</si>
  <si>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</si>
  <si>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</si>
  <si>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</si>
  <si>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</si>
  <si>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</si>
  <si>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</si>
  <si>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</si>
  <si>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</si>
  <si>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</si>
  <si>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</si>
  <si>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</si>
  <si>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</si>
  <si>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</si>
  <si>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</si>
  <si>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</si>
  <si>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</si>
  <si>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</si>
  <si>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</si>
  <si>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</si>
  <si>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</si>
  <si>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</si>
  <si>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</si>
  <si>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</si>
  <si>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</si>
  <si>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</si>
  <si>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</si>
  <si>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</si>
  <si>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</si>
  <si>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</si>
  <si>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</si>
  <si>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</si>
  <si>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</si>
  <si>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</si>
  <si>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</si>
  <si>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</si>
  <si>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</si>
  <si>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</si>
  <si>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</si>
  <si>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</si>
  <si>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</si>
  <si>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</si>
  <si>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</si>
  <si>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</si>
  <si>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</si>
  <si>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</si>
  <si>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</si>
  <si>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</si>
  <si>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</si>
  <si>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</si>
  <si>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</si>
  <si>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</si>
  <si>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</si>
  <si>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</si>
  <si>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</si>
  <si>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</si>
  <si>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</si>
  <si>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</si>
  <si>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</si>
  <si>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</si>
  <si>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</si>
  <si>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</si>
  <si>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</si>
  <si>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</si>
  <si>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</si>
  <si>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</si>
  <si>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</si>
  <si>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</si>
  <si>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</si>
  <si>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</si>
  <si>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</si>
  <si>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</si>
  <si>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</si>
  <si>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</si>
  <si>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</si>
  <si>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</si>
  <si>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</si>
  <si>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</si>
  <si>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</si>
  <si>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</si>
  <si>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</si>
  <si>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</si>
  <si>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</si>
  <si>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</si>
  <si>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</si>
  <si>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</si>
  <si>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</si>
  <si>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</si>
  <si>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</si>
  <si>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</si>
  <si>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</si>
  <si>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</si>
  <si>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</si>
  <si>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</si>
  <si>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</si>
  <si>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</si>
  <si>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</si>
  <si>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</si>
  <si>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</si>
  <si>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</si>
  <si>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</si>
  <si>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</si>
  <si>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</si>
  <si>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</si>
  <si>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</si>
  <si>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</si>
  <si>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</si>
  <si>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</si>
  <si>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</si>
  <si>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</si>
  <si>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</si>
  <si>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</si>
  <si>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</si>
  <si>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</si>
  <si>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</si>
  <si>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</si>
  <si>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</si>
  <si>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</si>
  <si>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</si>
  <si>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</si>
  <si>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</si>
  <si>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</si>
  <si>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</si>
  <si>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</si>
  <si>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</si>
  <si>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</si>
  <si>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</si>
  <si>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</si>
  <si>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</si>
  <si>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</si>
  <si>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</si>
  <si>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</si>
  <si>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</si>
  <si>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</si>
  <si>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</si>
  <si>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</si>
  <si>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</si>
  <si>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</si>
  <si>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</si>
  <si>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</si>
  <si>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</si>
  <si>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</si>
  <si>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</si>
  <si>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</si>
  <si>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</si>
  <si>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</si>
  <si>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</si>
  <si>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</si>
  <si>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</si>
  <si>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</si>
  <si>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</si>
  <si>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</si>
  <si>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</si>
  <si>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</si>
  <si>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</si>
  <si>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</si>
  <si>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</si>
  <si>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</si>
  <si>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</si>
  <si>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</si>
  <si>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</si>
  <si>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</si>
  <si>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</si>
  <si>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</si>
  <si>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</si>
  <si>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</si>
  <si>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</si>
  <si>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</si>
  <si>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</si>
  <si>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</si>
  <si>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</si>
  <si>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</si>
  <si>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</si>
  <si>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</si>
  <si>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</si>
  <si>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</si>
  <si>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</si>
  <si>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</si>
  <si>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</si>
  <si>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</si>
  <si>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</si>
  <si>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</si>
  <si>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</si>
  <si>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</si>
  <si>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</si>
  <si>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</si>
  <si>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</si>
  <si>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</si>
  <si>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</si>
  <si>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</si>
  <si>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</si>
  <si>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</si>
  <si>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</si>
  <si>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</si>
  <si>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</si>
  <si>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</si>
  <si>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</si>
  <si>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</si>
  <si>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</si>
  <si>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</si>
  <si>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</si>
  <si>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</si>
  <si>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</si>
  <si>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</si>
  <si>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</si>
  <si>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</si>
  <si>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</si>
  <si>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</si>
  <si>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</si>
  <si>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</si>
  <si>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</si>
  <si>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</si>
  <si>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</si>
  <si>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</si>
  <si>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</si>
  <si>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</si>
  <si>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</si>
  <si>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</si>
  <si>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</si>
  <si>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</si>
  <si>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</si>
  <si>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</si>
  <si>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</si>
  <si>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</si>
  <si>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</si>
  <si>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</si>
  <si>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</si>
  <si>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</si>
  <si>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</si>
  <si>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</si>
  <si>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</si>
  <si>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</si>
  <si>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</si>
  <si>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</si>
  <si>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</si>
  <si>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</si>
  <si>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</si>
  <si>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</si>
  <si>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</si>
  <si>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</si>
  <si>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</si>
  <si>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</si>
  <si>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</si>
  <si>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</si>
  <si>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</si>
  <si>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</si>
  <si>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</si>
  <si>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</si>
  <si>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</si>
  <si>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</si>
  <si>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</si>
  <si>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</si>
  <si>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</si>
  <si>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</si>
  <si>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</si>
  <si>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</si>
  <si>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</si>
  <si>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</si>
  <si>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</si>
  <si>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</si>
  <si>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</si>
  <si>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</si>
  <si>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</si>
  <si>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</si>
  <si>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</si>
  <si>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</si>
  <si>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</si>
  <si>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</si>
  <si>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</si>
  <si>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</si>
  <si>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</si>
  <si>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</si>
  <si>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</si>
  <si>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</si>
  <si>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</si>
  <si>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</si>
  <si>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</si>
  <si>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</si>
  <si>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</si>
  <si>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</si>
  <si>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</si>
  <si>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</si>
  <si>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</si>
  <si>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</si>
  <si>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</si>
  <si>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</si>
  <si>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</si>
  <si>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</si>
  <si>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</si>
  <si>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</si>
  <si>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</si>
  <si>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</si>
  <si>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</si>
  <si>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</si>
  <si>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</si>
  <si>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</si>
  <si>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</si>
  <si>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</si>
  <si>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</si>
  <si>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</si>
  <si>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</si>
  <si>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</si>
  <si>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</si>
  <si>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</si>
  <si>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</si>
  <si>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</si>
  <si>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</si>
  <si>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</si>
  <si>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</si>
  <si>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</si>
  <si>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</si>
  <si>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</si>
  <si>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</si>
  <si>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</si>
  <si>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</si>
  <si>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</si>
  <si>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</si>
  <si>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</si>
  <si>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</si>
  <si>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</si>
  <si>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</si>
  <si>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</si>
  <si>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</si>
  <si>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</si>
  <si>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</si>
  <si>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</si>
  <si>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</si>
  <si>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</si>
  <si>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</si>
  <si>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</si>
  <si>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</si>
  <si>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</si>
  <si>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</si>
  <si>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</si>
  <si>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</si>
  <si>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</si>
  <si>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</si>
  <si>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</si>
  <si>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</si>
  <si>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</si>
  <si>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</si>
  <si>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</si>
  <si>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</si>
  <si>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</si>
  <si>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</si>
  <si>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</si>
  <si>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</si>
  <si>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</si>
  <si>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</si>
  <si>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</si>
  <si>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</si>
  <si>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</si>
  <si>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</si>
  <si>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</si>
  <si>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</si>
  <si>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</si>
  <si>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</si>
  <si>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</si>
  <si>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</si>
  <si>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</si>
  <si>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</si>
  <si>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</si>
  <si>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</si>
  <si>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</si>
  <si>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</si>
  <si>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</si>
  <si>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</si>
  <si>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</si>
  <si>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</si>
  <si>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</si>
  <si>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</si>
  <si>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</si>
  <si>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</si>
  <si>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</si>
  <si>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</si>
  <si>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</si>
  <si>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</si>
  <si>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</si>
  <si>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</si>
  <si>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</si>
  <si>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</si>
  <si>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</si>
  <si>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</si>
  <si>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</si>
  <si>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</si>
  <si>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</si>
  <si>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</si>
  <si>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</si>
  <si>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</si>
  <si>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</si>
  <si>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</si>
  <si>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</si>
  <si>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</si>
  <si>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</si>
  <si>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</si>
  <si>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</si>
  <si>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</si>
  <si>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</si>
  <si>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</si>
  <si>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</si>
  <si>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</si>
  <si>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</si>
  <si>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</si>
  <si>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</si>
  <si>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</si>
  <si>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</si>
  <si>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</si>
  <si>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</si>
  <si>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</si>
  <si>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</si>
  <si>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</si>
  <si>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</si>
  <si>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</si>
  <si>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</si>
  <si>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</si>
  <si>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</si>
  <si>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</si>
  <si>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</si>
  <si>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</si>
  <si>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</si>
  <si>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</si>
  <si>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</si>
  <si>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</si>
  <si>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</si>
  <si>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</si>
  <si>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</si>
  <si>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</si>
  <si>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</si>
  <si>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</si>
  <si>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</si>
  <si>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</si>
  <si>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</si>
  <si>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</si>
  <si>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</si>
  <si>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</si>
  <si>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</si>
  <si>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</si>
  <si>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</si>
  <si>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</si>
  <si>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</si>
  <si>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</si>
  <si>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</si>
  <si>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</si>
  <si>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</si>
  <si>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</si>
  <si>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</si>
  <si>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</si>
  <si>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</si>
  <si>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</si>
  <si>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</si>
  <si>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</si>
  <si>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</si>
  <si>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</si>
  <si>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</si>
  <si>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</si>
  <si>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</si>
  <si>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</si>
  <si>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</si>
  <si>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</si>
  <si>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</si>
  <si>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</si>
  <si>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</si>
  <si>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</si>
  <si>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</si>
  <si>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</si>
  <si>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</si>
  <si>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</si>
  <si>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</si>
  <si>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</si>
  <si>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</si>
  <si>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</si>
  <si>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</si>
  <si>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</si>
  <si>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</si>
  <si>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</si>
  <si>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</si>
  <si>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</si>
  <si>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</si>
  <si>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</si>
  <si>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</si>
  <si>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</si>
  <si>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</si>
  <si>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</si>
  <si>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</si>
  <si>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</si>
  <si>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</si>
  <si>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</si>
  <si>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</si>
  <si>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</si>
  <si>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</si>
  <si>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</si>
  <si>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</si>
  <si>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</si>
  <si>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</si>
  <si>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</si>
  <si>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</si>
  <si>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</si>
  <si>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</si>
  <si>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</si>
  <si>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</si>
  <si>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</si>
  <si>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</si>
  <si>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</si>
  <si>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</si>
  <si>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</si>
  <si>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</si>
  <si>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</si>
  <si>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</si>
  <si>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</si>
  <si>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</si>
  <si>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</si>
  <si>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</si>
  <si>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</si>
  <si>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</si>
  <si>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</si>
  <si>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</si>
  <si>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</si>
  <si>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</si>
  <si>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</si>
  <si>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</si>
  <si>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</si>
  <si>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</si>
  <si>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</si>
  <si>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</si>
  <si>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</si>
  <si>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</si>
  <si>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</si>
  <si>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</si>
  <si>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</si>
  <si>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</si>
  <si>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</si>
  <si>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</si>
  <si>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</si>
  <si>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</si>
  <si>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</si>
  <si>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</si>
  <si>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</si>
  <si>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</si>
  <si>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</si>
  <si>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</si>
  <si>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</si>
  <si>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</si>
  <si>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</si>
  <si>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</si>
  <si>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</si>
  <si>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</si>
  <si>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</si>
  <si>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</si>
  <si>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</si>
  <si>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</si>
  <si>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</si>
  <si>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</si>
  <si>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</si>
  <si>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</si>
  <si>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</si>
  <si>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</si>
  <si>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</si>
  <si>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</si>
  <si>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</si>
  <si>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</si>
  <si>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</si>
  <si>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</si>
  <si>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</si>
  <si>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</si>
  <si>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</si>
  <si>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</si>
  <si>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</si>
  <si>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</si>
  <si>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</si>
  <si>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</si>
  <si>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</si>
  <si>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</si>
  <si>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</si>
  <si>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</si>
  <si>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</si>
  <si>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</si>
  <si>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</si>
  <si>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</si>
  <si>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</si>
  <si>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</si>
  <si>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</si>
  <si>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</si>
  <si>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</si>
  <si>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</si>
  <si>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</si>
  <si>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</si>
  <si>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</si>
  <si>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</si>
  <si>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</si>
  <si>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</si>
  <si>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</si>
  <si>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</si>
  <si>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</si>
  <si>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</si>
  <si>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</si>
  <si>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</si>
  <si>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</si>
  <si>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</si>
  <si>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</si>
  <si>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</si>
  <si>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</si>
  <si>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</si>
  <si>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</si>
  <si>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</si>
  <si>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</si>
  <si>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</si>
  <si>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</si>
  <si>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</si>
  <si>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</si>
  <si>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</si>
  <si>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</si>
  <si>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</si>
  <si>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</si>
  <si>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</si>
  <si>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</si>
  <si>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</si>
  <si>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</si>
  <si>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</si>
  <si>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</si>
  <si>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</si>
  <si>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</si>
  <si>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</si>
  <si>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</si>
  <si>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</si>
  <si>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</si>
  <si>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</si>
  <si>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</si>
  <si>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</si>
  <si>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</si>
  <si>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</si>
  <si>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</si>
  <si>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</si>
  <si>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</si>
  <si>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</si>
  <si>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</si>
  <si>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</si>
  <si>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</si>
  <si>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</si>
  <si>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</si>
  <si>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</si>
  <si>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</si>
  <si>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</si>
  <si>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</si>
  <si>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</si>
  <si>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</si>
  <si>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</si>
  <si>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</si>
  <si>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</si>
  <si>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</si>
  <si>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</si>
  <si>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</si>
  <si>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</si>
  <si>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</si>
  <si>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</si>
  <si>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</si>
  <si>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</si>
  <si>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</si>
  <si>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</si>
  <si>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</si>
  <si>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</si>
  <si>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</si>
  <si>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</si>
  <si>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</si>
  <si>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</si>
  <si>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</si>
  <si>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</si>
  <si>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</si>
  <si>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</si>
  <si>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</si>
  <si>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</si>
  <si>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</si>
  <si>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</si>
  <si>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</si>
  <si>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</si>
  <si>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</si>
  <si>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</si>
  <si>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</si>
  <si>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</si>
  <si>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</si>
  <si>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</si>
  <si>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</si>
  <si>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</si>
  <si>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</si>
  <si>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</si>
  <si>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</si>
  <si>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</si>
  <si>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</si>
  <si>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</si>
  <si>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</si>
  <si>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</si>
  <si>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</si>
  <si>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</si>
  <si>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</si>
  <si>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</si>
  <si>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</si>
  <si>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</si>
  <si>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</si>
  <si>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</si>
  <si>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</si>
  <si>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</si>
  <si>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</si>
  <si>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</si>
  <si>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</si>
  <si>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</si>
  <si>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</si>
  <si>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</si>
  <si>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</si>
  <si>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</si>
  <si>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</si>
  <si>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</si>
  <si>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</si>
  <si>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</si>
  <si>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</si>
  <si>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</si>
  <si>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</si>
  <si>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</si>
  <si>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</si>
  <si>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</si>
  <si>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</si>
  <si>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</si>
  <si>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</si>
  <si>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</si>
  <si>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</si>
  <si>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</si>
  <si>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</si>
  <si>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</si>
  <si>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</si>
  <si>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</si>
  <si>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</si>
  <si>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</si>
  <si>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</si>
  <si>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</si>
  <si>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</si>
  <si>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</si>
  <si>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</si>
  <si>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</si>
  <si>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</si>
  <si>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</si>
  <si>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</si>
  <si>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</si>
  <si>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</si>
  <si>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</si>
  <si>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</si>
  <si>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</si>
  <si>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</si>
  <si>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</si>
  <si>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</si>
  <si>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</si>
  <si>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</si>
  <si>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</si>
  <si>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</si>
  <si>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</si>
  <si>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</si>
  <si>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</si>
  <si>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</si>
  <si>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</si>
  <si>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</si>
  <si>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</si>
  <si>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</si>
  <si>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</si>
  <si>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</si>
  <si>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</si>
  <si>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</si>
  <si>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</si>
  <si>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</si>
  <si>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</si>
  <si>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</si>
  <si>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</si>
  <si>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</si>
  <si>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</si>
  <si>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</si>
  <si>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</si>
  <si>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</si>
  <si>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</si>
  <si>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</si>
  <si>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</si>
  <si>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</si>
  <si>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</si>
  <si>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</si>
  <si>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</si>
  <si>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</si>
  <si>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</si>
  <si>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</si>
  <si>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</si>
  <si>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</si>
  <si>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</si>
  <si>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</si>
  <si>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</si>
  <si>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</si>
  <si>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</si>
  <si>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</si>
  <si>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</si>
  <si>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</si>
  <si>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</si>
  <si>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</si>
  <si>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</si>
  <si>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</si>
  <si>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</si>
  <si>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</si>
  <si>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</si>
  <si>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</si>
  <si>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</si>
  <si>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</si>
  <si>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</si>
  <si>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</si>
  <si>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</si>
  <si>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</si>
  <si>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</si>
  <si>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</si>
  <si>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</si>
  <si>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</si>
  <si>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</si>
  <si>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</si>
  <si>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</si>
  <si>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</si>
  <si>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</si>
  <si>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</si>
  <si>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</si>
  <si>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</si>
  <si>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</si>
  <si>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</si>
  <si>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</si>
  <si>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</si>
  <si>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</si>
  <si>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</si>
  <si>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</si>
  <si>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</si>
  <si>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</si>
  <si>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</si>
  <si>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</si>
  <si>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</si>
  <si>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</si>
  <si>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</si>
  <si>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</si>
  <si>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</si>
  <si>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</si>
  <si>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</si>
  <si>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</si>
  <si>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</si>
  <si>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</si>
  <si>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</si>
  <si>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</si>
  <si>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</si>
  <si>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</si>
  <si>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</si>
  <si>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</si>
  <si>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</si>
  <si>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</si>
  <si>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</si>
  <si>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</si>
  <si>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</si>
  <si>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</si>
  <si>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</si>
  <si>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</si>
  <si>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</si>
  <si>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</si>
  <si>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</si>
  <si>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</si>
  <si>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</si>
  <si>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</si>
  <si>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</si>
  <si>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</si>
  <si>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</si>
  <si>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</si>
  <si>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</si>
  <si>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</si>
  <si>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</si>
  <si>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</si>
  <si>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</si>
  <si>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</si>
  <si>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</si>
  <si>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</si>
  <si>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</si>
  <si>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</si>
  <si>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</si>
  <si>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</si>
  <si>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</si>
  <si>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</si>
  <si>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</si>
  <si>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</si>
  <si>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</si>
  <si>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</si>
  <si>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</si>
  <si>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</si>
  <si>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</si>
  <si>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</si>
  <si>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</si>
  <si>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</si>
  <si>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</si>
  <si>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</si>
  <si>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</si>
  <si>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</si>
  <si>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</si>
  <si>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</si>
  <si>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</si>
  <si>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</si>
  <si>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</si>
  <si>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</si>
  <si>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</si>
  <si>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</si>
  <si>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</si>
  <si>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</si>
  <si>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</si>
  <si>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</si>
  <si>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</si>
  <si>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</si>
  <si>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</si>
  <si>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</si>
  <si>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</si>
  <si>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</si>
  <si>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</si>
  <si>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</si>
  <si>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</si>
  <si>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</si>
  <si>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</si>
  <si>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</si>
  <si>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</si>
  <si>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</si>
  <si>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</si>
  <si>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</si>
  <si>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</si>
  <si>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</si>
  <si>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</si>
  <si>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</si>
  <si>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</si>
  <si>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</si>
  <si>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</si>
  <si>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</si>
  <si>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</si>
  <si>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</si>
  <si>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</si>
  <si>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</si>
  <si>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</si>
  <si>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</si>
  <si>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</si>
  <si>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</si>
  <si>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</si>
  <si>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</si>
  <si>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</si>
  <si>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</si>
  <si>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</si>
  <si>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</si>
  <si>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</si>
  <si>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</si>
  <si>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</si>
  <si>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</si>
  <si>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</si>
  <si>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</si>
  <si>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</si>
  <si>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</si>
  <si>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</si>
  <si>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</si>
  <si>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</si>
  <si>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</si>
  <si>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</si>
  <si>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</si>
  <si>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</si>
  <si>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</si>
  <si>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</si>
  <si>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</si>
  <si>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</si>
  <si>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</si>
  <si>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</si>
  <si>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</si>
  <si>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</si>
  <si>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</si>
  <si>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</si>
  <si>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</si>
  <si>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</si>
  <si>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</si>
  <si>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</si>
  <si>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</si>
  <si>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</si>
  <si>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</si>
  <si>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</si>
  <si>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</si>
  <si>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</si>
  <si>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</si>
  <si>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</si>
  <si>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</si>
  <si>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</si>
  <si>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</si>
  <si>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</si>
  <si>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</si>
  <si>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</si>
  <si>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</si>
  <si>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</si>
  <si>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</si>
  <si>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</si>
  <si>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</si>
  <si>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</si>
  <si>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</si>
  <si>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</si>
  <si>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</si>
  <si>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</si>
  <si>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</si>
  <si>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</si>
  <si>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</si>
  <si>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</si>
  <si>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</si>
  <si>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</si>
  <si>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</si>
  <si>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</si>
  <si>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</si>
  <si>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</si>
  <si>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</si>
  <si>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</si>
  <si>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</si>
  <si>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</si>
  <si>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</si>
  <si>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</si>
  <si>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</si>
  <si>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</si>
  <si>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</si>
  <si>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</si>
  <si>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</si>
  <si>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</si>
  <si>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</si>
  <si>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</si>
  <si>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</si>
  <si>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</si>
  <si>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</si>
  <si>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</si>
  <si>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</si>
  <si>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</si>
  <si>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</si>
  <si>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</si>
  <si>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</si>
  <si>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</si>
  <si>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</si>
  <si>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</si>
  <si>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</si>
  <si>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</si>
  <si>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</si>
  <si>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</si>
  <si>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</si>
  <si>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</si>
  <si>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</si>
  <si>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</si>
  <si>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</si>
  <si>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</si>
  <si>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</si>
  <si>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</si>
  <si>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</si>
  <si>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</si>
  <si>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</si>
  <si>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</si>
  <si>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</si>
  <si>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</si>
  <si>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</si>
  <si>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</si>
  <si>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</si>
  <si>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</si>
  <si>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</si>
  <si>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</si>
  <si>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</si>
  <si>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</si>
  <si>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</si>
  <si>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</si>
  <si>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</si>
  <si>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</si>
  <si>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</si>
  <si>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</si>
  <si>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</si>
  <si>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</si>
  <si>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</si>
  <si>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</si>
  <si>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</si>
  <si>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</si>
  <si>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</si>
  <si>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</si>
  <si>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</si>
  <si>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</si>
  <si>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</si>
  <si>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</si>
  <si>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</si>
  <si>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</si>
  <si>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</si>
  <si>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</si>
  <si>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</si>
  <si>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</si>
  <si>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</si>
  <si>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</si>
  <si>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</si>
  <si>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</si>
  <si>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</si>
  <si>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</si>
  <si>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</si>
  <si>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</si>
  <si>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</si>
  <si>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</si>
  <si>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</si>
  <si>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</si>
  <si>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</si>
  <si>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</si>
  <si>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</si>
  <si>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</si>
  <si>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</si>
  <si>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</si>
  <si>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</si>
  <si>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</si>
  <si>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</si>
  <si>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</si>
  <si>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</si>
  <si>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</si>
  <si>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</si>
  <si>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</si>
  <si>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</si>
  <si>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</si>
  <si>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</si>
  <si>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</si>
  <si>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</si>
  <si>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</si>
  <si>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</si>
  <si>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</si>
  <si>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</si>
  <si>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</si>
  <si>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</si>
  <si>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</si>
  <si>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</si>
  <si>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</si>
  <si>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</si>
  <si>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</si>
  <si>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</si>
  <si>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</si>
  <si>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</si>
  <si>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</si>
  <si>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</si>
  <si>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</si>
  <si>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</si>
  <si>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</si>
  <si>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</si>
  <si>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</si>
  <si>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</si>
  <si>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</si>
  <si>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</si>
  <si>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</si>
  <si>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</si>
  <si>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</si>
  <si>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</si>
  <si>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</si>
  <si>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</si>
  <si>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</si>
  <si>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</si>
  <si>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</si>
  <si>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</si>
  <si>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</si>
  <si>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</si>
  <si>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</si>
  <si>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</si>
  <si>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</si>
  <si>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</si>
  <si>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</si>
  <si>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</si>
  <si>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</si>
  <si>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</si>
  <si>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</si>
  <si>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</si>
  <si>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</si>
  <si>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</si>
  <si>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</si>
  <si>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</si>
  <si>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</si>
  <si>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</si>
  <si>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</si>
  <si>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</si>
  <si>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</si>
  <si>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</si>
  <si>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</si>
  <si>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</si>
  <si>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</si>
  <si>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</si>
  <si>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</si>
  <si>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</si>
  <si>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</si>
  <si>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</si>
  <si>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</si>
  <si>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</si>
  <si>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</si>
  <si>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</si>
  <si>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</si>
  <si>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</si>
  <si>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</si>
  <si>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</si>
  <si>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</si>
  <si>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</si>
  <si>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</si>
  <si>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</si>
  <si>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</si>
  <si>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</si>
  <si>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</si>
  <si>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</si>
  <si>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</si>
  <si>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</si>
  <si>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</si>
  <si>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</si>
  <si>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</si>
  <si>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</si>
  <si>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</si>
  <si>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</si>
  <si>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</si>
  <si>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</si>
  <si>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</si>
  <si>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</si>
  <si>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</si>
  <si>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</si>
  <si>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</si>
  <si>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</si>
  <si>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</si>
  <si>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</si>
  <si>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</si>
  <si>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</si>
  <si>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</si>
  <si>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</si>
  <si>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</si>
  <si>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</si>
  <si>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</si>
  <si>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</si>
  <si>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</si>
  <si>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</si>
  <si>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</si>
  <si>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</si>
  <si>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</si>
  <si>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</si>
  <si>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</si>
  <si>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</si>
  <si>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</si>
  <si>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</si>
  <si>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</si>
  <si>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</si>
  <si>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</si>
  <si>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</si>
  <si>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</si>
  <si>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</si>
  <si>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</si>
  <si>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</si>
  <si>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</si>
  <si>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</si>
  <si>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</si>
  <si>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</si>
  <si>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</si>
  <si>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</si>
  <si>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</si>
  <si>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</si>
  <si>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</si>
  <si>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</si>
  <si>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</si>
  <si>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</si>
  <si>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</si>
  <si>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</si>
  <si>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</si>
  <si>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</si>
  <si>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</si>
  <si>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</si>
  <si>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</si>
  <si>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</si>
  <si>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</si>
  <si>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</si>
  <si>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</si>
  <si>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</si>
  <si>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</si>
  <si>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</si>
  <si>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</si>
  <si>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</si>
  <si>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</si>
  <si>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</si>
  <si>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</si>
  <si>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</si>
  <si>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</si>
  <si>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</si>
  <si>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</si>
  <si>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</si>
  <si>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</si>
  <si>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</si>
  <si>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</si>
  <si>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</si>
  <si>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</si>
  <si>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</si>
  <si>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</si>
  <si>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</si>
  <si>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</si>
  <si>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</si>
  <si>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</si>
  <si>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</si>
  <si>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</si>
  <si>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</si>
  <si>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</si>
  <si>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</si>
  <si>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</si>
  <si>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</si>
  <si>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</si>
  <si>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</si>
  <si>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</si>
  <si>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</si>
  <si>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</si>
  <si>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</si>
  <si>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</si>
  <si>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</si>
  <si>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</si>
  <si>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</si>
  <si>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</si>
  <si>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</si>
  <si>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</si>
  <si>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</si>
  <si>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</si>
  <si>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</si>
  <si>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</si>
  <si>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</si>
  <si>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</si>
  <si>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</si>
  <si>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</si>
  <si>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</si>
  <si>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</si>
  <si>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</si>
  <si>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</si>
  <si>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</si>
  <si>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</si>
  <si>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</si>
  <si>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</si>
  <si>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</si>
  <si>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</si>
  <si>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</si>
  <si>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</si>
  <si>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</si>
  <si>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</si>
  <si>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</si>
  <si>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</si>
  <si>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</si>
  <si>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</si>
  <si>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</si>
  <si>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</si>
  <si>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</si>
  <si>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</si>
  <si>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</si>
  <si>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</si>
  <si>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</si>
  <si>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</si>
  <si>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</si>
  <si>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</si>
  <si>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</si>
  <si>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</si>
  <si>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</si>
  <si>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</si>
  <si>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</si>
  <si>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</si>
  <si>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</si>
  <si>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</si>
  <si>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</si>
  <si>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</si>
  <si>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</si>
  <si>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</si>
  <si>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</si>
  <si>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</si>
  <si>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</si>
  <si>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</si>
  <si>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</si>
  <si>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</si>
  <si>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</si>
  <si>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</si>
  <si>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</si>
  <si>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</si>
  <si>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</si>
  <si>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</si>
  <si>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</si>
  <si>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</si>
  <si>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</si>
  <si>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</si>
  <si>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</si>
  <si>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</si>
  <si>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</si>
  <si>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</si>
  <si>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</si>
  <si>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</si>
  <si>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</si>
  <si>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</si>
  <si>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</si>
  <si>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</si>
  <si>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</si>
  <si>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</si>
  <si>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</si>
  <si>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</si>
  <si>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</si>
  <si>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</si>
  <si>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</si>
  <si>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</si>
  <si>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</si>
  <si>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</si>
  <si>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</si>
  <si>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</si>
  <si>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</si>
  <si>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</si>
  <si>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</si>
  <si>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</si>
  <si>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</si>
  <si>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</si>
  <si>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</si>
  <si>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</si>
  <si>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</si>
  <si>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</si>
  <si>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</si>
  <si>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</si>
  <si>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</si>
  <si>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</si>
  <si>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</si>
  <si>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</si>
  <si>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</si>
  <si>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</si>
  <si>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</si>
  <si>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</si>
  <si>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</si>
  <si>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</si>
  <si>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</si>
  <si>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</si>
  <si>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</si>
  <si>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</si>
  <si>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</si>
  <si>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</si>
  <si>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</si>
  <si>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</si>
  <si>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</si>
  <si>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</si>
  <si>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</si>
  <si>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</si>
  <si>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</si>
  <si>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</si>
  <si>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</si>
  <si>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</si>
  <si>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</si>
  <si>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</si>
  <si>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</si>
  <si>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</si>
  <si>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</si>
  <si>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</si>
  <si>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</si>
  <si>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</si>
  <si>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</si>
  <si>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</si>
  <si>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</si>
  <si>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</si>
  <si>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</si>
  <si>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</si>
  <si>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</si>
  <si>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</si>
  <si>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</si>
  <si>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</si>
  <si>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</si>
  <si>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</si>
  <si>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</si>
  <si>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</si>
  <si>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</si>
  <si>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</si>
  <si>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</si>
  <si>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</si>
  <si>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</si>
  <si>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</si>
  <si>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</si>
  <si>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</si>
  <si>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</si>
  <si>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</si>
  <si>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</si>
  <si>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</si>
  <si>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</si>
  <si>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</si>
  <si>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</si>
  <si>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</si>
  <si>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</si>
  <si>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</si>
  <si>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</si>
  <si>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</si>
  <si>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</si>
  <si>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</si>
  <si>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</si>
  <si>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</si>
  <si>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</si>
  <si>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</si>
  <si>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</si>
  <si>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</si>
  <si>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</si>
  <si>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</si>
  <si>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</si>
  <si>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</si>
  <si>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</si>
  <si>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</si>
  <si>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</si>
  <si>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</si>
  <si>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</si>
  <si>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</si>
  <si>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</si>
  <si>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</si>
  <si>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</si>
  <si>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</si>
  <si>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</si>
  <si>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</si>
  <si>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</si>
  <si>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</si>
  <si>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</si>
  <si>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</si>
  <si>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</si>
  <si>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</si>
  <si>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</si>
  <si>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</si>
  <si>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</si>
  <si>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</si>
  <si>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</si>
  <si>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</si>
  <si>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</si>
  <si>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</si>
  <si>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</si>
  <si>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</si>
  <si>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</si>
  <si>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</si>
  <si>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</si>
  <si>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</si>
  <si>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</si>
  <si>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</si>
  <si>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</si>
  <si>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</si>
  <si>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</si>
  <si>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</si>
  <si>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</si>
  <si>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</si>
  <si>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</si>
  <si>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</si>
  <si>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</si>
  <si>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</si>
  <si>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</si>
  <si>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</si>
  <si>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</si>
  <si>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</si>
  <si>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</si>
  <si>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</si>
  <si>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</si>
  <si>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</si>
  <si>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</si>
  <si>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</si>
  <si>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</si>
  <si>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</si>
  <si>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</si>
  <si>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</si>
  <si>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</si>
  <si>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</si>
  <si>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</si>
  <si>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</si>
  <si>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</si>
  <si>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</si>
  <si>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</si>
  <si>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</si>
  <si>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</si>
  <si>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</si>
  <si>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</si>
  <si>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</si>
  <si>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</si>
  <si>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</si>
  <si>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</si>
  <si>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</si>
  <si>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</si>
  <si>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</si>
  <si>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</si>
  <si>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</si>
  <si>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</si>
  <si>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</si>
  <si>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</si>
  <si>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</si>
  <si>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</si>
  <si>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</si>
  <si>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</si>
  <si>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</si>
  <si>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</si>
  <si>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</si>
  <si>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</si>
  <si>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</si>
  <si>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</si>
  <si>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</si>
  <si>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</si>
  <si>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</si>
  <si>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</si>
  <si>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</si>
  <si>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</si>
  <si>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</si>
  <si>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</si>
  <si>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</si>
  <si>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</si>
  <si>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</si>
  <si>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</si>
  <si>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</si>
  <si>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</si>
  <si>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</si>
  <si>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</si>
  <si>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</si>
  <si>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</si>
  <si>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</si>
  <si>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</si>
  <si>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</si>
  <si>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</si>
  <si>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</si>
  <si>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</si>
  <si>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</si>
  <si>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</si>
  <si>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</si>
  <si>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</si>
  <si>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</si>
  <si>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</si>
  <si>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</si>
  <si>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</si>
  <si>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</si>
  <si>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</si>
  <si>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</si>
  <si>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</si>
  <si>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</si>
  <si>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</si>
  <si>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</si>
  <si>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</si>
  <si>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</si>
  <si>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</si>
  <si>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</si>
  <si>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</si>
  <si>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</si>
  <si>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</si>
  <si>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</si>
  <si>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</si>
  <si>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</si>
  <si>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</si>
  <si>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</si>
  <si>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</si>
  <si>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</si>
  <si>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</si>
  <si>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</si>
  <si>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</si>
  <si>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</si>
  <si>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</si>
  <si>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</si>
  <si>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</si>
  <si>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</si>
  <si>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</si>
  <si>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</si>
  <si>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</si>
  <si>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</si>
  <si>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</si>
  <si>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</si>
  <si>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</si>
  <si>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</si>
  <si>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</si>
  <si>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</si>
  <si>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</si>
  <si>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</si>
  <si>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</si>
  <si>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</si>
  <si>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</si>
  <si>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</si>
  <si>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</si>
  <si>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</si>
  <si>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</si>
  <si>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</si>
  <si>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</si>
  <si>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</si>
  <si>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</si>
  <si>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</si>
  <si>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</si>
  <si>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</si>
  <si>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</si>
  <si>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</si>
  <si>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</si>
  <si>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</si>
  <si>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</si>
  <si>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</si>
  <si>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</si>
  <si>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</si>
  <si>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</si>
  <si>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</si>
  <si>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</si>
  <si>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</si>
  <si>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</si>
  <si>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</si>
  <si>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</si>
  <si>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</si>
  <si>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</si>
  <si>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</si>
  <si>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</si>
  <si>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</si>
  <si>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</si>
  <si>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</si>
  <si>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</si>
  <si>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</si>
  <si>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</si>
  <si>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</si>
  <si>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</si>
  <si>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</si>
  <si>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</si>
  <si>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</si>
  <si>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</si>
  <si>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</si>
  <si>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</si>
  <si>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</si>
  <si>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</si>
  <si>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</si>
  <si>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</si>
  <si>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</si>
  <si>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</si>
  <si>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</si>
  <si>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</si>
  <si>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</si>
  <si>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</si>
  <si>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</si>
  <si>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</si>
  <si>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</si>
  <si>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</si>
  <si>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</si>
  <si>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</si>
  <si>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</si>
  <si>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</si>
  <si>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</si>
  <si>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</si>
  <si>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</si>
  <si>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</si>
  <si>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</si>
  <si>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</si>
  <si>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</si>
  <si>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</si>
  <si>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</si>
  <si>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</si>
  <si>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</si>
  <si>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</si>
  <si>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</si>
  <si>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</si>
  <si>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</si>
  <si>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</si>
  <si>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</si>
  <si>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</si>
  <si>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</si>
  <si>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</si>
  <si>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</si>
  <si>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</si>
  <si>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</si>
  <si>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</si>
  <si>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</si>
  <si>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</si>
  <si>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</si>
  <si>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</si>
  <si>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</si>
  <si>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</si>
  <si>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</si>
  <si>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</si>
  <si>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</si>
  <si>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</si>
  <si>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</si>
  <si>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</si>
  <si>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</si>
  <si>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</si>
  <si>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</si>
  <si>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</si>
  <si>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</si>
  <si>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</si>
  <si>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</si>
  <si>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</si>
  <si>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</si>
  <si>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</si>
  <si>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</si>
  <si>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</si>
  <si>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</si>
  <si>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</si>
  <si>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</si>
  <si>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</si>
  <si>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</si>
  <si>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</si>
  <si>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</si>
  <si>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</si>
  <si>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</si>
  <si>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</si>
  <si>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</si>
  <si>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</si>
  <si>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</si>
  <si>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</si>
  <si>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</si>
  <si>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</si>
  <si>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</si>
  <si>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</si>
  <si>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</si>
  <si>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</si>
  <si>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</si>
  <si>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</si>
  <si>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</si>
  <si>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</si>
  <si>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</si>
  <si>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</si>
  <si>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</si>
  <si>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</si>
  <si>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</si>
  <si>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</si>
  <si>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</si>
  <si>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</si>
  <si>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</si>
  <si>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</si>
  <si>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</si>
  <si>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</si>
  <si>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</si>
  <si>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</si>
  <si>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</si>
  <si>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</si>
  <si>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</si>
  <si>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</si>
  <si>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</si>
  <si>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</si>
  <si>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</si>
  <si>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</si>
  <si>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</si>
  <si>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</si>
  <si>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</si>
  <si>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</si>
  <si>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</si>
  <si>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</si>
  <si>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</si>
  <si>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</si>
  <si>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</si>
  <si>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</si>
  <si>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</si>
  <si>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</si>
  <si>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</si>
  <si>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</si>
  <si>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</si>
  <si>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</si>
  <si>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</si>
  <si>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</si>
  <si>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</si>
  <si>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</si>
  <si>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</si>
  <si>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</si>
  <si>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</si>
  <si>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</si>
  <si>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</si>
  <si>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</si>
  <si>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</si>
  <si>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</si>
  <si>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</si>
  <si>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</si>
  <si>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</si>
  <si>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</si>
  <si>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</si>
  <si>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</si>
  <si>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</si>
  <si>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</si>
  <si>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</si>
  <si>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</si>
  <si>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</si>
  <si>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</si>
  <si>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</si>
  <si>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</si>
  <si>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</si>
  <si>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</si>
  <si>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</si>
  <si>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</si>
  <si>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</si>
  <si>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</si>
  <si>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</si>
  <si>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</si>
  <si>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</si>
  <si>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</si>
  <si>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</si>
  <si>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</si>
  <si>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</si>
  <si>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</si>
  <si>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</si>
  <si>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</si>
  <si>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</si>
  <si>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</si>
  <si>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</si>
  <si>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</si>
  <si>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</si>
  <si>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</si>
  <si>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</si>
  <si>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</si>
  <si>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</si>
  <si>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</si>
  <si>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</si>
  <si>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</si>
  <si>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</si>
  <si>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</si>
  <si>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</si>
  <si>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</si>
  <si>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</si>
  <si>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</si>
  <si>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</si>
  <si>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</si>
  <si>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</si>
  <si>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</si>
  <si>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</si>
  <si>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</si>
  <si>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</si>
  <si>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</si>
  <si>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</si>
  <si>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</si>
  <si>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</si>
  <si>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</si>
  <si>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</si>
  <si>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</si>
  <si>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</si>
  <si>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</si>
  <si>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</si>
  <si>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</si>
  <si>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</si>
  <si>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</si>
  <si>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</si>
  <si>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</si>
  <si>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</si>
  <si>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</si>
  <si>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</si>
  <si>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</si>
  <si>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</si>
  <si>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</si>
  <si>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</si>
  <si>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</si>
  <si>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</si>
  <si>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</si>
  <si>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</si>
  <si>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</si>
  <si>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</si>
  <si>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</si>
  <si>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</si>
  <si>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</si>
  <si>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</si>
  <si>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</si>
  <si>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</si>
  <si>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</si>
  <si>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</si>
  <si>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</si>
  <si>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</si>
  <si>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</si>
  <si>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</si>
  <si>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</si>
  <si>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</si>
  <si>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</si>
  <si>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</si>
  <si>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</si>
  <si>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</si>
  <si>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</si>
  <si>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</si>
  <si>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</si>
  <si>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</si>
  <si>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</si>
  <si>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</si>
  <si>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</si>
  <si>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</si>
  <si>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</si>
  <si>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</si>
  <si>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</si>
  <si>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</si>
  <si>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</si>
  <si>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</si>
  <si>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</si>
  <si>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</si>
  <si>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</si>
  <si>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</si>
  <si>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</si>
  <si>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</si>
  <si>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</si>
  <si>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</si>
  <si>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</si>
  <si>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</si>
  <si>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</si>
  <si>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</si>
  <si>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</si>
  <si>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</si>
  <si>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</si>
  <si>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</si>
  <si>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</si>
  <si>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</si>
  <si>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</si>
  <si>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</si>
  <si>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</si>
  <si>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</si>
  <si>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</si>
  <si>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</si>
  <si>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</si>
  <si>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</si>
  <si>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</si>
  <si>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</si>
  <si>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</si>
  <si>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</si>
  <si>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</si>
  <si>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</si>
  <si>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</si>
  <si>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</si>
  <si>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</si>
  <si>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</si>
  <si>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</si>
  <si>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</si>
  <si>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</si>
  <si>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</si>
  <si>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</si>
  <si>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</si>
  <si>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</si>
  <si>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</si>
  <si>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</si>
  <si>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</si>
  <si>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</si>
  <si>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</si>
  <si>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</si>
  <si>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</si>
  <si>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</si>
  <si>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</si>
  <si>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</si>
  <si>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</si>
  <si>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</si>
  <si>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</si>
  <si>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</si>
  <si>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</si>
  <si>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</si>
  <si>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</si>
  <si>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</si>
  <si>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</si>
  <si>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</si>
  <si>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</si>
  <si>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</si>
  <si>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</si>
  <si>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</si>
  <si>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</si>
  <si>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</si>
  <si>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</si>
  <si>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</si>
  <si>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</si>
  <si>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</si>
  <si>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</si>
  <si>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</si>
  <si>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</si>
  <si>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</si>
  <si>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</si>
  <si>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</si>
  <si>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</si>
  <si>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</si>
  <si>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</si>
  <si>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</si>
  <si>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</si>
  <si>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</si>
  <si>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</si>
  <si>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</si>
  <si>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</si>
  <si>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</si>
  <si>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</si>
  <si>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</si>
  <si>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</si>
  <si>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</si>
  <si>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</si>
  <si>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</si>
  <si>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</si>
  <si>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</si>
  <si>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</si>
  <si>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</si>
  <si>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</si>
  <si>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</si>
  <si>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</si>
  <si>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</si>
  <si>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</si>
  <si>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</si>
  <si>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</si>
  <si>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</si>
  <si>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</si>
  <si>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</si>
  <si>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</si>
  <si>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</si>
  <si>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</si>
  <si>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</si>
  <si>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</si>
  <si>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</si>
  <si>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</si>
  <si>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</si>
  <si>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</si>
  <si>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</si>
  <si>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</si>
  <si>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</si>
  <si>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</si>
  <si>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</si>
  <si>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</si>
  <si>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</si>
  <si>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</si>
  <si>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</si>
  <si>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</si>
  <si>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</si>
  <si>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</si>
  <si>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</si>
  <si>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</si>
  <si>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</si>
  <si>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</si>
  <si>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</si>
  <si>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</si>
  <si>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</si>
  <si>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</si>
  <si>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</si>
  <si>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</si>
  <si>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</si>
  <si>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</si>
  <si>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</si>
  <si>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</si>
  <si>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</si>
  <si>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</si>
  <si>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</si>
  <si>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</si>
  <si>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</si>
  <si>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</si>
  <si>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</si>
  <si>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</si>
  <si>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</si>
  <si>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</si>
  <si>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</si>
  <si>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</si>
  <si>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</si>
  <si>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</si>
  <si>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</si>
  <si>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</si>
  <si>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</si>
  <si>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</si>
  <si>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</si>
  <si>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</si>
  <si>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</si>
  <si>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</si>
  <si>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</si>
  <si>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</si>
  <si>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</si>
  <si>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</si>
  <si>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</si>
  <si>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</si>
  <si>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</si>
  <si>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</si>
  <si>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</si>
  <si>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</si>
  <si>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</si>
  <si>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</si>
  <si>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</si>
  <si>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</si>
  <si>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</si>
  <si>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</si>
  <si>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</si>
  <si>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</si>
  <si>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</si>
  <si>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</si>
  <si>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</si>
  <si>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</si>
  <si>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</si>
  <si>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</si>
  <si>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</si>
  <si>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</si>
  <si>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</si>
  <si>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</si>
  <si>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</si>
  <si>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</si>
  <si>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</si>
  <si>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</si>
  <si>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</si>
  <si>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</si>
  <si>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</si>
  <si>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</si>
  <si>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</si>
  <si>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</si>
  <si>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</si>
  <si>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</si>
  <si>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</si>
  <si>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</si>
  <si>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</si>
  <si>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</si>
  <si>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</si>
  <si>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</si>
  <si>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</si>
  <si>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</si>
  <si>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</si>
  <si>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</si>
  <si>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</si>
  <si>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</si>
  <si>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</si>
  <si>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</si>
  <si>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</si>
  <si>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</si>
  <si>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</si>
  <si>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</si>
  <si>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</si>
  <si>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</si>
  <si>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</si>
  <si>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</si>
  <si>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</si>
  <si>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</si>
  <si>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</si>
  <si>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</si>
  <si>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</si>
  <si>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</si>
  <si>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</si>
  <si>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</si>
  <si>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</si>
  <si>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</si>
  <si>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</si>
  <si>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</si>
  <si>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</si>
  <si>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</si>
  <si>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</si>
  <si>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</si>
  <si>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</si>
  <si>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</si>
  <si>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</si>
  <si>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</si>
  <si>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</si>
  <si>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</si>
  <si>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</si>
  <si>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</si>
  <si>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</si>
  <si>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</si>
  <si>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</si>
  <si>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</si>
  <si>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</si>
  <si>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</si>
  <si>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</si>
  <si>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</si>
  <si>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</si>
  <si>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</si>
  <si>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</si>
  <si>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</si>
  <si>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</si>
  <si>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</si>
  <si>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</si>
  <si>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</si>
  <si>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</si>
  <si>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</si>
  <si>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</si>
  <si>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</si>
  <si>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</si>
  <si>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</si>
  <si>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</si>
  <si>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</si>
  <si>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</si>
  <si>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</si>
  <si>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</si>
  <si>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</si>
  <si>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</si>
  <si>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</si>
  <si>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</si>
  <si>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</si>
  <si>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</si>
  <si>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</si>
  <si>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</si>
  <si>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</si>
  <si>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</si>
  <si>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</si>
  <si>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</si>
  <si>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</si>
  <si>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</si>
  <si>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</si>
  <si>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</si>
  <si>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</si>
  <si>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</si>
  <si>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</si>
  <si>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</si>
  <si>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</si>
  <si>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</si>
  <si>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</si>
  <si>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</si>
  <si>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</si>
  <si>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</si>
  <si>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</si>
  <si>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</si>
  <si>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</si>
  <si>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</si>
  <si>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</si>
  <si>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</si>
  <si>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</si>
  <si>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</si>
  <si>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</si>
  <si>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</si>
  <si>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</si>
  <si>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</si>
  <si>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</si>
  <si>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</si>
  <si>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</si>
  <si>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</si>
  <si>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</si>
  <si>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</si>
  <si>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</si>
  <si>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</si>
  <si>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</si>
  <si>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</si>
  <si>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</si>
  <si>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</si>
  <si>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</si>
  <si>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</si>
  <si>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</si>
  <si>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</si>
  <si>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</si>
  <si>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</si>
  <si>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</si>
  <si>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</si>
  <si>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</si>
  <si>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</si>
  <si>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</si>
  <si>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</si>
  <si>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</si>
  <si>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</si>
  <si>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</si>
  <si>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</si>
  <si>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</si>
  <si>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</si>
  <si>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</si>
  <si>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</si>
  <si>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</si>
  <si>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</si>
  <si>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</si>
  <si>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</si>
  <si>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</si>
  <si>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</si>
  <si>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</si>
  <si>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</si>
  <si>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</si>
  <si>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</si>
  <si>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</si>
  <si>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</si>
  <si>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</si>
  <si>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</si>
  <si>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</si>
  <si>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</si>
  <si>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</si>
  <si>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</si>
  <si>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</si>
  <si>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</si>
  <si>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</si>
  <si>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</si>
  <si>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</si>
  <si>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</si>
  <si>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</si>
  <si>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</si>
  <si>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</si>
  <si>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</si>
  <si>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</si>
  <si>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</si>
  <si>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</si>
  <si>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</si>
  <si>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</si>
  <si>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</si>
  <si>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</si>
  <si>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</si>
  <si>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</si>
  <si>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</si>
  <si>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</si>
  <si>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</si>
  <si>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</si>
  <si>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</si>
  <si>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</si>
  <si>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</si>
  <si>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</si>
  <si>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</si>
  <si>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</si>
  <si>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</si>
  <si>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</si>
  <si>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</si>
  <si>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</si>
  <si>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</si>
  <si>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</si>
  <si>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</si>
  <si>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</si>
  <si>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</si>
  <si>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</si>
  <si>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</si>
  <si>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</si>
  <si>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</si>
  <si>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</si>
  <si>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</si>
  <si>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</si>
  <si>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</si>
  <si>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</si>
  <si>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</si>
  <si>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</si>
  <si>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</si>
  <si>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</si>
  <si>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</si>
  <si>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</si>
  <si>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</si>
  <si>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</si>
  <si>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</si>
  <si>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</si>
  <si>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</si>
  <si>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</si>
  <si>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</si>
  <si>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</si>
  <si>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</si>
  <si>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</si>
  <si>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</si>
  <si>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</si>
  <si>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</si>
  <si>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</si>
  <si>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</si>
  <si>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</si>
  <si>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</si>
  <si>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</si>
  <si>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</si>
  <si>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</si>
  <si>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</si>
  <si>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</si>
  <si>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</si>
  <si>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</si>
  <si>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</si>
  <si>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</si>
  <si>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</si>
  <si>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</si>
  <si>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</si>
  <si>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</si>
  <si>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</si>
  <si>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</si>
  <si>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</si>
  <si>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</si>
  <si>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</si>
  <si>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</si>
  <si>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</si>
  <si>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</si>
  <si>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</si>
  <si>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</si>
  <si>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</si>
  <si>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</si>
  <si>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</si>
  <si>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</si>
  <si>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</si>
  <si>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</si>
  <si>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</si>
  <si>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</si>
  <si>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</si>
  <si>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</si>
  <si>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</si>
  <si>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</si>
  <si>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</si>
  <si>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</si>
  <si>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</si>
  <si>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</si>
  <si>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</si>
  <si>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</si>
  <si>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</si>
  <si>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</si>
  <si>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</si>
  <si>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</si>
  <si>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</si>
  <si>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</si>
  <si>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</si>
  <si>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</si>
  <si>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</si>
  <si>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</si>
  <si>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</si>
  <si>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</si>
  <si>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</si>
  <si>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</si>
  <si>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</si>
  <si>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</si>
  <si>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</si>
  <si>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</si>
  <si>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</si>
  <si>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</si>
  <si>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</si>
  <si>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</si>
  <si>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</si>
  <si>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</si>
  <si>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</si>
  <si>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</si>
  <si>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</si>
  <si>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</si>
  <si>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</si>
  <si>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</si>
  <si>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</si>
  <si>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</si>
  <si>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</si>
  <si>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</si>
  <si>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</si>
  <si>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</si>
  <si>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</si>
  <si>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</si>
  <si>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</si>
  <si>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</si>
  <si>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</si>
  <si>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</si>
  <si>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</si>
  <si>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</si>
  <si>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</si>
  <si>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</si>
  <si>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</si>
  <si>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</si>
  <si>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</si>
  <si>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</si>
  <si>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</si>
  <si>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</si>
  <si>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</si>
  <si>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</si>
  <si>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</si>
  <si>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</si>
  <si>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</si>
  <si>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</si>
  <si>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</si>
  <si>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</si>
  <si>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</si>
  <si>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</si>
  <si>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</si>
  <si>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</si>
  <si>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</si>
  <si>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</si>
  <si>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</si>
  <si>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</si>
  <si>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</si>
  <si>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</si>
  <si>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</si>
  <si>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</si>
  <si>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</si>
  <si>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</si>
  <si>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</si>
  <si>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</si>
  <si>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</si>
  <si>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</si>
  <si>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</si>
  <si>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</si>
  <si>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</si>
  <si>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</si>
  <si>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</si>
  <si>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</si>
  <si>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</si>
  <si>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</si>
  <si>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</si>
  <si>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</si>
  <si>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</si>
  <si>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</si>
  <si>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</si>
  <si>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</si>
  <si>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</si>
  <si>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</si>
  <si>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</si>
  <si>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</si>
  <si>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</si>
  <si>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</si>
  <si>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</si>
  <si>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</si>
  <si>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</si>
  <si>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</si>
  <si>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</si>
  <si>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</si>
  <si>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</si>
  <si>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</si>
  <si>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</si>
  <si>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</si>
  <si>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</si>
  <si>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</si>
  <si>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</si>
  <si>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</si>
  <si>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</si>
  <si>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</si>
  <si>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</si>
  <si>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</si>
  <si>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</si>
  <si>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</si>
  <si>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</si>
  <si>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</si>
  <si>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</si>
  <si>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</si>
  <si>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</si>
  <si>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</si>
  <si>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</si>
  <si>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</si>
  <si>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</si>
  <si>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</si>
  <si>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</si>
  <si>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</si>
  <si>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</si>
  <si>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</si>
  <si>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</si>
  <si>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</si>
  <si>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</si>
  <si>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</si>
  <si>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</si>
  <si>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</si>
  <si>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</si>
  <si>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</si>
  <si>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</si>
  <si>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</si>
  <si>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</si>
  <si>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</si>
  <si>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</si>
  <si>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</si>
  <si>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</si>
  <si>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</si>
  <si>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</si>
  <si>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</si>
  <si>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</si>
  <si>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</si>
  <si>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</si>
  <si>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</si>
  <si>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</si>
  <si>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</si>
  <si>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</si>
  <si>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</si>
  <si>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</si>
  <si>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</si>
  <si>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</si>
  <si>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</si>
  <si>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</si>
  <si>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</si>
  <si>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</si>
  <si>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</si>
  <si>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</si>
  <si>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</si>
  <si>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</si>
  <si>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</si>
  <si>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</si>
  <si>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</si>
  <si>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</si>
  <si>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</si>
  <si>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</si>
  <si>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</si>
  <si>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</si>
  <si>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</si>
  <si>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</si>
  <si>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</si>
  <si>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</si>
  <si>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</si>
  <si>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</si>
  <si>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</si>
  <si>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</si>
  <si>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</si>
  <si>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</si>
  <si>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</si>
  <si>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</si>
  <si>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</si>
  <si>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</si>
  <si>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</si>
  <si>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</si>
  <si>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</si>
  <si>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</si>
  <si>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</si>
  <si>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</si>
  <si>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</si>
  <si>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</si>
  <si>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</si>
  <si>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</si>
  <si>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</si>
  <si>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</si>
  <si>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</si>
  <si>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</si>
  <si>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</si>
  <si>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</si>
  <si>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</si>
  <si>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</si>
  <si>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</si>
  <si>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</si>
  <si>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</si>
  <si>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</si>
  <si>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</si>
  <si>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</si>
  <si>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</si>
  <si>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</si>
  <si>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</si>
  <si>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</si>
  <si>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</si>
  <si>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</si>
  <si>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</si>
  <si>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</si>
  <si>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</si>
  <si>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</si>
  <si>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</si>
  <si>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</si>
  <si>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</si>
  <si>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</si>
  <si>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</si>
  <si>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</si>
  <si>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</si>
  <si>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</si>
  <si>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</si>
  <si>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</si>
  <si>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</si>
  <si>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</si>
  <si>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</si>
  <si>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</si>
  <si>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</si>
  <si>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</si>
  <si>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</si>
  <si>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</si>
  <si>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</si>
  <si>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</si>
  <si>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</si>
  <si>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</si>
  <si>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</si>
  <si>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</si>
  <si>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</si>
  <si>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</si>
  <si>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</si>
  <si>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</si>
  <si>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</si>
  <si>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</si>
  <si>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</si>
  <si>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</si>
  <si>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</si>
  <si>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</si>
  <si>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</si>
  <si>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</si>
  <si>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</si>
  <si>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</si>
  <si>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</si>
  <si>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</si>
  <si>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</si>
  <si>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</si>
  <si>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</si>
  <si>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</si>
  <si>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</si>
  <si>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</si>
  <si>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</si>
  <si>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</si>
  <si>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</si>
  <si>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</si>
  <si>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</si>
  <si>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</si>
  <si>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</si>
  <si>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</si>
  <si>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</si>
  <si>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</si>
  <si>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</si>
  <si>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</si>
  <si>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</si>
  <si>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</si>
  <si>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</si>
  <si>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</si>
  <si>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</si>
  <si>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</si>
  <si>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</si>
  <si>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</si>
  <si>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</si>
  <si>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</si>
  <si>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</si>
  <si>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</si>
  <si>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</si>
  <si>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</si>
  <si>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</si>
  <si>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</si>
  <si>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</si>
  <si>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</si>
  <si>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</si>
  <si>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</si>
  <si>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</si>
  <si>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</si>
  <si>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</si>
  <si>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</si>
  <si>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</si>
  <si>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</si>
  <si>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</si>
  <si>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</si>
  <si>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</si>
  <si>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</si>
  <si>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</si>
  <si>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</si>
  <si>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</si>
  <si>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</si>
  <si>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</si>
  <si>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</si>
  <si>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</si>
  <si>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</si>
  <si>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</si>
  <si>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</si>
  <si>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</si>
  <si>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</si>
  <si>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</si>
  <si>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</si>
  <si>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</si>
  <si>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</si>
  <si>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</si>
  <si>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</si>
  <si>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</si>
  <si>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</si>
  <si>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</si>
  <si>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</si>
  <si>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</si>
  <si>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</si>
  <si>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</si>
  <si>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</si>
  <si>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</si>
  <si>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</si>
  <si>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</si>
  <si>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</si>
  <si>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</si>
  <si>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</si>
  <si>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</si>
  <si>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</si>
  <si>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</si>
  <si>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</si>
  <si>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</si>
  <si>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</si>
  <si>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</si>
  <si>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</si>
  <si>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</si>
  <si>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</si>
  <si>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</si>
  <si>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</si>
  <si>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</si>
  <si>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</si>
  <si>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</si>
  <si>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</si>
  <si>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</si>
  <si>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</si>
  <si>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</si>
  <si>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</si>
  <si>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</si>
  <si>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</si>
  <si>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</si>
  <si>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</si>
  <si>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</si>
  <si>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</si>
  <si>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</si>
  <si>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</si>
  <si>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</si>
  <si>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</si>
  <si>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</si>
  <si>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</si>
  <si>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</si>
  <si>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</si>
  <si>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</si>
  <si>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</si>
  <si>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</si>
  <si>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</si>
  <si>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</si>
  <si>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</si>
  <si>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</si>
  <si>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</si>
  <si>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</si>
  <si>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</si>
  <si>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</si>
  <si>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</si>
  <si>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</si>
  <si>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</si>
  <si>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</si>
  <si>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</si>
  <si>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</si>
  <si>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</si>
  <si>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</si>
  <si>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</si>
  <si>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</si>
  <si>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</si>
  <si>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</si>
  <si>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</si>
  <si>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</si>
  <si>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</si>
  <si>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</si>
  <si>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</si>
  <si>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</si>
  <si>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</si>
  <si>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</si>
  <si>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</si>
  <si>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</si>
  <si>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</si>
  <si>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</si>
  <si>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</si>
  <si>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</si>
  <si>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</si>
  <si>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</si>
  <si>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</si>
  <si>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</si>
  <si>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</si>
  <si>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</si>
  <si>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</si>
  <si>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</si>
  <si>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</si>
  <si>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</si>
  <si>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</si>
  <si>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</si>
  <si>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</si>
  <si>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</si>
  <si>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</si>
  <si>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</si>
  <si>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</si>
  <si>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</si>
  <si>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</si>
  <si>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</si>
  <si>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</si>
  <si>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</si>
  <si>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</si>
  <si>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</si>
  <si>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</si>
  <si>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</si>
  <si>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</si>
  <si>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</si>
  <si>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</si>
  <si>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</si>
  <si>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</si>
  <si>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</si>
  <si>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</si>
  <si>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</si>
  <si>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</si>
  <si>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</si>
  <si>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</si>
  <si>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</si>
  <si>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</si>
  <si>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</si>
  <si>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</si>
  <si>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</si>
  <si>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</si>
  <si>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</si>
  <si>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</si>
  <si>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</si>
  <si>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</si>
  <si>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</si>
  <si>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</si>
  <si>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</si>
  <si>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</si>
  <si>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</si>
  <si>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</si>
  <si>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</si>
  <si>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</si>
  <si>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</si>
  <si>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</si>
  <si>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</si>
  <si>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</si>
  <si>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</si>
  <si>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</si>
  <si>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</si>
  <si>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</si>
  <si>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</si>
  <si>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</si>
  <si>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</si>
  <si>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</si>
  <si>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</si>
  <si>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</si>
  <si>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</si>
  <si>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</si>
  <si>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</si>
  <si>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</si>
  <si>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</si>
  <si>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</si>
  <si>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</si>
  <si>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</si>
  <si>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</si>
  <si>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</si>
  <si>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</si>
  <si>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</si>
  <si>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</si>
  <si>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</si>
  <si>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</si>
  <si>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</si>
  <si>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</si>
  <si>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</si>
  <si>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</si>
  <si>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</si>
  <si>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</si>
  <si>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</si>
  <si>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</si>
  <si>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</si>
  <si>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</si>
  <si>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</si>
  <si>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</si>
  <si>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</si>
  <si>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</si>
  <si>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</si>
  <si>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</si>
  <si>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</si>
  <si>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</si>
  <si>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</si>
  <si>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</si>
  <si>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</si>
  <si>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</si>
  <si>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</si>
  <si>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</si>
  <si>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</si>
  <si>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</si>
  <si>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</si>
  <si>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</si>
  <si>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</si>
  <si>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</si>
  <si>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</si>
  <si>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</si>
  <si>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</si>
  <si>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</si>
  <si>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</si>
  <si>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</si>
  <si>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</si>
  <si>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</si>
  <si>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</si>
  <si>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</si>
  <si>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</si>
  <si>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</si>
  <si>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</si>
  <si>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</si>
  <si>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</si>
  <si>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</si>
  <si>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</si>
  <si>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</si>
  <si>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</si>
  <si>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</si>
  <si>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</si>
  <si>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</si>
  <si>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</si>
  <si>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</si>
  <si>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</si>
  <si>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</si>
  <si>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</si>
  <si>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</si>
  <si>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</si>
  <si>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</si>
  <si>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</si>
  <si>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</si>
  <si>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</si>
  <si>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</si>
  <si>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</si>
  <si>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</si>
  <si>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</si>
  <si>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</si>
  <si>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</si>
  <si>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</si>
  <si>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</si>
  <si>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</si>
  <si>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</si>
  <si>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</si>
  <si>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</si>
  <si>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</si>
  <si>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</si>
  <si>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</si>
  <si>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</si>
  <si>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</si>
  <si>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</si>
  <si>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</si>
  <si>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</si>
  <si>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</si>
  <si>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</si>
  <si>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</si>
  <si>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</si>
  <si>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</si>
  <si>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</si>
  <si>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</si>
  <si>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</si>
  <si>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</si>
  <si>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</si>
  <si>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</si>
  <si>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</si>
  <si>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</si>
  <si>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</si>
  <si>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</si>
  <si>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</si>
  <si>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</si>
  <si>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</si>
  <si>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</si>
  <si>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</si>
  <si>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</si>
  <si>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</si>
  <si>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</si>
  <si>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</si>
  <si>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</si>
  <si>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</si>
  <si>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</si>
  <si>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</si>
  <si>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</si>
  <si>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</si>
  <si>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</si>
  <si>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</si>
  <si>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</si>
  <si>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</si>
  <si>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</si>
  <si>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</si>
  <si>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</si>
  <si>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</si>
  <si>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</si>
  <si>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</si>
  <si>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</si>
  <si>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</si>
  <si>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</si>
  <si>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</si>
  <si>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</si>
  <si>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</si>
  <si>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</si>
  <si>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</si>
  <si>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</si>
  <si>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</si>
  <si>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</si>
  <si>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</si>
  <si>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</si>
  <si>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</si>
  <si>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</si>
  <si>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</si>
  <si>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</si>
  <si>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</si>
  <si>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</si>
  <si>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</si>
  <si>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</si>
  <si>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</si>
  <si>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</si>
  <si>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</si>
  <si>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</si>
  <si>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</si>
  <si>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</si>
  <si>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</si>
  <si>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</si>
  <si>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</si>
  <si>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</si>
  <si>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</si>
  <si>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</si>
  <si>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</si>
  <si>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</si>
  <si>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</si>
  <si>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</si>
  <si>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</si>
  <si>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</si>
  <si>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</si>
  <si>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</si>
  <si>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</si>
  <si>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</si>
  <si>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</si>
  <si>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</si>
  <si>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</si>
  <si>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</si>
  <si>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</si>
  <si>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</si>
  <si>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</si>
  <si>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</si>
  <si>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</si>
  <si>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</si>
  <si>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</si>
  <si>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</si>
  <si>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</si>
  <si>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</si>
  <si>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</si>
  <si>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</si>
  <si>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</si>
  <si>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</si>
  <si>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</si>
  <si>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</si>
  <si>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</si>
  <si>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</si>
  <si>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</si>
  <si>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</si>
  <si>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</si>
  <si>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</si>
  <si>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</si>
  <si>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</si>
  <si>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</si>
  <si>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</si>
  <si>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</si>
  <si>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</si>
  <si>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</si>
  <si>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</si>
  <si>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</si>
  <si>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</si>
  <si>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</si>
  <si>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</si>
  <si>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</si>
  <si>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</si>
  <si>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</si>
  <si>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</si>
  <si>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</si>
  <si>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</si>
  <si>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</si>
  <si>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</si>
  <si>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</si>
  <si>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</si>
  <si>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</si>
  <si>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</si>
  <si>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</si>
  <si>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</si>
  <si>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</si>
  <si>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</si>
  <si>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</si>
  <si>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</si>
  <si>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</si>
  <si>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</si>
  <si>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</si>
  <si>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</si>
  <si>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</si>
  <si>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</si>
  <si>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</si>
  <si>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</si>
  <si>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</si>
  <si>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</si>
  <si>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</si>
  <si>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</si>
  <si>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</si>
  <si>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</si>
  <si>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</si>
  <si>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</si>
  <si>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</si>
  <si>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</si>
  <si>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</si>
  <si>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</si>
  <si>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</si>
  <si>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</si>
  <si>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</si>
  <si>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</si>
  <si>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</si>
  <si>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</si>
  <si>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</si>
  <si>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</si>
  <si>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</si>
  <si>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</si>
  <si>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</si>
  <si>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</si>
  <si>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</si>
  <si>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</si>
  <si>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</si>
  <si>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</si>
  <si>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</si>
  <si>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</si>
  <si>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</si>
  <si>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</si>
  <si>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</si>
  <si>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</si>
  <si>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</si>
  <si>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</si>
  <si>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</si>
  <si>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</si>
  <si>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</si>
  <si>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</si>
  <si>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</si>
  <si>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</si>
  <si>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</si>
  <si>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</si>
  <si>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</si>
  <si>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</si>
  <si>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</si>
  <si>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</si>
  <si>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</si>
  <si>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</si>
  <si>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</si>
  <si>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</si>
  <si>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</si>
  <si>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</si>
  <si>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</si>
  <si>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</si>
  <si>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</si>
  <si>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</si>
  <si>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</si>
  <si>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</si>
  <si>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</si>
  <si>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</si>
  <si>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</si>
  <si>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</si>
  <si>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</si>
  <si>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</si>
  <si>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</si>
  <si>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</si>
  <si>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</si>
  <si>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</si>
  <si>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</si>
  <si>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</si>
  <si>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</si>
  <si>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</si>
  <si>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</si>
  <si>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</si>
  <si>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</si>
  <si>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</si>
  <si>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</si>
  <si>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</si>
  <si>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</si>
  <si>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</si>
  <si>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</si>
  <si>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</si>
  <si>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</si>
  <si>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</si>
  <si>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</si>
  <si>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</si>
  <si>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</si>
  <si>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</si>
  <si>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</si>
  <si>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</si>
  <si>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</si>
  <si>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</si>
  <si>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</si>
  <si>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</si>
  <si>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</si>
  <si>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</si>
  <si>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</si>
  <si>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</si>
  <si>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</si>
  <si>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</si>
  <si>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</si>
  <si>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</si>
  <si>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</si>
  <si>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</si>
  <si>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</si>
  <si>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</si>
  <si>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</si>
  <si>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</si>
  <si>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</si>
  <si>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</si>
  <si>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</si>
  <si>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</si>
  <si>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</si>
  <si>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</si>
  <si>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</si>
  <si>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</si>
  <si>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</si>
  <si>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</si>
  <si>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</si>
  <si>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</si>
  <si>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</si>
  <si>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</si>
  <si>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</si>
  <si>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</si>
  <si>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</si>
  <si>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</si>
  <si>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</si>
  <si>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</si>
  <si>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</si>
  <si>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</si>
  <si>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</si>
  <si>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</si>
  <si>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</si>
  <si>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</si>
  <si>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</si>
  <si>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</si>
  <si>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</si>
  <si>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</si>
  <si>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</si>
  <si>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</si>
  <si>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</si>
  <si>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</si>
  <si>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</si>
  <si>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</si>
  <si>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</si>
  <si>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</si>
  <si>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</si>
  <si>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</si>
  <si>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</si>
  <si>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</si>
  <si>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</si>
  <si>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</si>
  <si>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</si>
  <si>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</si>
  <si>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</si>
  <si>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</si>
  <si>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</si>
  <si>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</si>
  <si>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</si>
  <si>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</si>
  <si>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</si>
  <si>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</si>
  <si>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</si>
  <si>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</si>
  <si>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</si>
  <si>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</si>
  <si>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</si>
  <si>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</si>
  <si>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</si>
  <si>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</si>
  <si>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</si>
  <si>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</si>
  <si>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</si>
  <si>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</si>
  <si>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</si>
  <si>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</si>
  <si>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</si>
  <si>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</si>
  <si>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</si>
  <si>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</si>
  <si>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</si>
  <si>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</si>
  <si>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</si>
  <si>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</si>
  <si>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</si>
  <si>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</si>
  <si>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</si>
  <si>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</si>
  <si>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</si>
  <si>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</si>
  <si>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</si>
  <si>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</si>
  <si>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</si>
  <si>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</si>
  <si>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</si>
  <si>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</si>
  <si>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</si>
  <si>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</si>
  <si>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</si>
  <si>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</si>
  <si>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</si>
  <si>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</si>
  <si>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</si>
  <si>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</si>
  <si>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</si>
  <si>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</si>
  <si>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</si>
  <si>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</si>
  <si>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</si>
  <si>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</si>
  <si>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</si>
  <si>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</si>
  <si>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</si>
  <si>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</si>
  <si>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</si>
  <si>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</si>
  <si>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</si>
  <si>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</si>
  <si>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</si>
  <si>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</si>
  <si>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</si>
  <si>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</si>
  <si>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</si>
  <si>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</si>
  <si>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</si>
  <si>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</si>
  <si>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</si>
  <si>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</si>
  <si>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</si>
  <si>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</si>
  <si>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</si>
  <si>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</si>
  <si>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</si>
  <si>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</si>
  <si>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</si>
  <si>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</si>
  <si>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</si>
  <si>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</si>
  <si>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</si>
  <si>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</si>
  <si>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</si>
  <si>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</si>
  <si>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</si>
  <si>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</si>
  <si>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</si>
  <si>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</si>
  <si>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</si>
  <si>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</si>
  <si>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</si>
  <si>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</si>
  <si>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</si>
  <si>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</si>
  <si>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</si>
  <si>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</si>
  <si>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</si>
  <si>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</si>
  <si>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</si>
  <si>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</si>
  <si>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</si>
  <si>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</si>
  <si>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</si>
  <si>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</si>
  <si>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</si>
  <si>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</si>
  <si>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</si>
  <si>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</si>
  <si>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</si>
  <si>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</si>
  <si>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</si>
  <si>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</si>
  <si>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</si>
  <si>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</si>
  <si>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</si>
  <si>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</si>
  <si>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</si>
  <si>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</si>
  <si>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</si>
  <si>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</si>
  <si>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</si>
  <si>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</si>
  <si>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</si>
  <si>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</si>
  <si>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</si>
  <si>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</si>
  <si>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</si>
  <si>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</si>
  <si>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</si>
  <si>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</si>
  <si>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</si>
  <si>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</si>
  <si>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</si>
  <si>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</si>
  <si>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</si>
  <si>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</si>
  <si>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</si>
  <si>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</si>
  <si>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</si>
  <si>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</si>
  <si>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</si>
  <si>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</si>
  <si>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</si>
  <si>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</si>
  <si>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</si>
  <si>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</si>
  <si>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</si>
  <si>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</si>
  <si>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</si>
  <si>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</si>
  <si>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</si>
  <si>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</si>
  <si>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</si>
  <si>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</si>
  <si>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</si>
  <si>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</si>
  <si>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</si>
  <si>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</si>
  <si>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</si>
  <si>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</si>
  <si>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</si>
  <si>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</si>
  <si>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</si>
  <si>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</si>
  <si>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</si>
  <si>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</si>
  <si>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</si>
  <si>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</si>
  <si>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</si>
  <si>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</si>
  <si>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</si>
  <si>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</si>
  <si>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</si>
  <si>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</si>
  <si>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</si>
  <si>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</si>
  <si>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</si>
  <si>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</si>
  <si>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</si>
  <si>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</si>
  <si>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</si>
  <si>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</si>
  <si>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</si>
  <si>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</si>
  <si>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</si>
  <si>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</si>
  <si>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</si>
  <si>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</si>
  <si>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</si>
  <si>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</si>
  <si>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</si>
  <si>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</si>
  <si>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</si>
  <si>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</si>
  <si>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</si>
  <si>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</si>
  <si>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</si>
  <si>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</si>
  <si>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</si>
  <si>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</si>
  <si>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</si>
  <si>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</si>
  <si>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</si>
  <si>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</si>
  <si>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</si>
  <si>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</si>
  <si>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</si>
  <si>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</si>
  <si>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</si>
  <si>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</si>
  <si>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</si>
  <si>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</si>
  <si>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</si>
  <si>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</si>
  <si>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</si>
  <si>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</si>
  <si>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</si>
  <si>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</si>
  <si>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</si>
  <si>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</si>
  <si>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</si>
  <si>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</si>
  <si>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</si>
  <si>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</si>
  <si>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</si>
  <si>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</si>
  <si>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</si>
  <si>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</si>
  <si>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</si>
  <si>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</si>
  <si>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</si>
  <si>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</si>
  <si>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</si>
  <si>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</si>
  <si>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</si>
  <si>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</si>
  <si>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</si>
  <si>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</si>
  <si>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</si>
  <si>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</si>
  <si>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</si>
  <si>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</si>
  <si>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</si>
  <si>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</si>
  <si>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</si>
  <si>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</si>
  <si>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</si>
  <si>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</si>
  <si>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</si>
  <si>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</si>
  <si>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</si>
  <si>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</si>
  <si>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</si>
  <si>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</si>
  <si>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</si>
  <si>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</si>
  <si>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</si>
  <si>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</si>
  <si>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</si>
  <si>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</si>
  <si>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</si>
  <si>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</si>
  <si>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</si>
  <si>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</si>
  <si>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</si>
  <si>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</si>
  <si>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</si>
  <si>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</si>
  <si>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</si>
  <si>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</si>
  <si>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</si>
  <si>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</si>
  <si>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</si>
  <si>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</si>
  <si>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</si>
  <si>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</si>
  <si>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</si>
  <si>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</si>
  <si>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</si>
  <si>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</si>
  <si>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</si>
  <si>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</si>
  <si>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</si>
  <si>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</si>
  <si>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</si>
  <si>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</si>
  <si>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</si>
  <si>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</si>
  <si>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</si>
  <si>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</si>
  <si>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</si>
  <si>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</si>
  <si>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</si>
  <si>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</si>
  <si>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</si>
  <si>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</si>
  <si>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</si>
  <si>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</si>
  <si>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</si>
  <si>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</si>
  <si>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</si>
  <si>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</si>
  <si>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</si>
  <si>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</si>
  <si>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</si>
  <si>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</si>
  <si>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</si>
  <si>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</si>
  <si>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</si>
  <si>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</si>
  <si>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</si>
  <si>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</si>
  <si>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</si>
  <si>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</si>
  <si>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</si>
  <si>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</si>
  <si>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</si>
  <si>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</si>
  <si>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</si>
  <si>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</si>
  <si>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</si>
  <si>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</si>
  <si>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</si>
  <si>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</si>
  <si>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</si>
  <si>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</si>
  <si>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</si>
  <si>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</si>
  <si>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</si>
  <si>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</si>
  <si>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</si>
  <si>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</si>
  <si>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</si>
  <si>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</si>
  <si>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</si>
  <si>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</si>
  <si>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</si>
  <si>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</si>
  <si>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</si>
  <si>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</si>
  <si>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</si>
  <si>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</si>
  <si>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</si>
  <si>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</si>
  <si>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</si>
  <si>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</si>
  <si>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</si>
  <si>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</si>
  <si>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</si>
  <si>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</si>
  <si>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</si>
  <si>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</si>
  <si>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</si>
  <si>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</si>
  <si>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</si>
  <si>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</si>
  <si>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</si>
  <si>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</si>
  <si>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</si>
  <si>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</si>
  <si>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</si>
  <si>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</si>
  <si>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</si>
  <si>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</si>
  <si>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</si>
  <si>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</si>
  <si>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</si>
  <si>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</si>
  <si>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</si>
  <si>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</si>
  <si>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</si>
  <si>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</si>
  <si>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</si>
  <si>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</si>
  <si>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</si>
  <si>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</si>
  <si>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</si>
  <si>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</si>
  <si>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</si>
  <si>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</si>
  <si>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</si>
  <si>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</si>
  <si>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</si>
  <si>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</si>
  <si>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</si>
  <si>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</si>
  <si>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</si>
  <si>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</si>
  <si>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</si>
  <si>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</si>
  <si>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</si>
  <si>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</si>
  <si>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</si>
  <si>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</si>
  <si>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</si>
  <si>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</si>
  <si>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</si>
  <si>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</si>
  <si>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</si>
  <si>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</si>
  <si>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</si>
  <si>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</si>
  <si>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</si>
  <si>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</si>
  <si>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</si>
  <si>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</si>
  <si>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</si>
  <si>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</si>
  <si>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</si>
  <si>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</si>
  <si>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</si>
  <si>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</si>
  <si>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</si>
  <si>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</si>
  <si>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</si>
  <si>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</si>
  <si>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</si>
  <si>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</si>
  <si>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</si>
  <si>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</si>
  <si>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</si>
  <si>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</si>
  <si>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</si>
  <si>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</si>
  <si>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</si>
  <si>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</si>
  <si>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</si>
  <si>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</si>
  <si>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</si>
  <si>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</si>
  <si>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</si>
  <si>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</si>
  <si>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</si>
  <si>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</si>
  <si>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</si>
  <si>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</si>
  <si>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</si>
  <si>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</si>
  <si>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</si>
  <si>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</si>
  <si>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</si>
  <si>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</si>
  <si>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</si>
  <si>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</si>
  <si>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</si>
  <si>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</si>
  <si>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</si>
  <si>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</si>
  <si>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</si>
  <si>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</si>
  <si>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</si>
  <si>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</si>
  <si>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</si>
  <si>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</si>
  <si>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</si>
  <si>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</si>
  <si>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</si>
  <si>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</si>
  <si>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</si>
  <si>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</si>
  <si>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</si>
  <si>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</si>
  <si>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</si>
  <si>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</si>
  <si>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</si>
  <si>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</si>
  <si>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</si>
  <si>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</si>
  <si>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</si>
  <si>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</si>
  <si>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</si>
  <si>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</si>
  <si>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</si>
  <si>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</si>
  <si>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</si>
  <si>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</si>
  <si>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</si>
  <si>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</si>
  <si>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</si>
  <si>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</si>
  <si>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</si>
  <si>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</si>
  <si>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</si>
  <si>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</si>
  <si>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</si>
  <si>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</si>
  <si>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</si>
  <si>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</si>
  <si>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</si>
  <si>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</si>
  <si>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</si>
  <si>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</si>
  <si>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</si>
  <si>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</si>
  <si>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</si>
  <si>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</si>
  <si>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</si>
  <si>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</si>
  <si>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</si>
  <si>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</si>
  <si>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</si>
  <si>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</si>
  <si>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</si>
  <si>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</si>
  <si>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</si>
  <si>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</si>
  <si>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</si>
  <si>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</si>
  <si>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</si>
  <si>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</si>
  <si>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</si>
  <si>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</si>
  <si>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</si>
  <si>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</si>
  <si>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</si>
  <si>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</si>
  <si>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</si>
  <si>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</si>
  <si>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</si>
  <si>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</si>
  <si>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</si>
  <si>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</si>
  <si>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</si>
  <si>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</si>
  <si>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</si>
  <si>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</si>
  <si>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</si>
  <si>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</si>
  <si>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</si>
  <si>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</si>
  <si>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</si>
  <si>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</si>
  <si>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</si>
  <si>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</si>
  <si>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</si>
  <si>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</si>
  <si>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</si>
  <si>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</si>
  <si>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</si>
  <si>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</si>
  <si>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</si>
  <si>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</si>
  <si>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</si>
  <si>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</si>
  <si>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</si>
  <si>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</si>
  <si>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</si>
  <si>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</si>
  <si>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</si>
  <si>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</si>
  <si>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</si>
  <si>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</si>
  <si>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</si>
  <si>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</si>
  <si>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</si>
  <si>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</si>
  <si>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</si>
  <si>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</si>
  <si>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</si>
  <si>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</si>
  <si>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</si>
  <si>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</si>
  <si>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</si>
  <si>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</si>
  <si>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</si>
  <si>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</si>
  <si>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</si>
  <si>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</si>
  <si>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</si>
  <si>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</si>
  <si>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</si>
  <si>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</si>
  <si>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</si>
  <si>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</si>
  <si>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</si>
  <si>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</si>
  <si>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</si>
  <si>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</si>
  <si>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</si>
  <si>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</si>
  <si>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</si>
  <si>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</si>
  <si>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</si>
  <si>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</si>
  <si>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</si>
  <si>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</si>
  <si>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</si>
  <si>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</si>
  <si>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</si>
  <si>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</si>
  <si>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</si>
  <si>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</si>
  <si>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</si>
  <si>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</si>
  <si>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</si>
  <si>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</si>
  <si>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</si>
  <si>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</si>
  <si>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</si>
  <si>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</si>
  <si>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</si>
  <si>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</si>
  <si>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</si>
  <si>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</si>
  <si>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</si>
  <si>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</si>
  <si>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</si>
  <si>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</si>
  <si>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</si>
  <si>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</si>
  <si>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</si>
  <si>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</si>
  <si>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</si>
  <si>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</si>
  <si>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</si>
  <si>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</si>
  <si>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</si>
  <si>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</si>
  <si>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</si>
  <si>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</si>
  <si>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</si>
  <si>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</si>
  <si>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</si>
  <si>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</si>
  <si>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</si>
  <si>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</si>
  <si>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</si>
  <si>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</si>
  <si>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</si>
  <si>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</si>
  <si>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</si>
  <si>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</si>
  <si>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</si>
  <si>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</si>
  <si>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</si>
  <si>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</si>
  <si>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</si>
  <si>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</si>
  <si>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</si>
  <si>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</si>
  <si>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</si>
  <si>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</si>
  <si>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</si>
  <si>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</si>
  <si>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</si>
  <si>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</si>
  <si>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</si>
  <si>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</si>
  <si>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</si>
  <si>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</si>
  <si>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</si>
  <si>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</si>
  <si>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</si>
  <si>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</si>
  <si>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</si>
  <si>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</si>
  <si>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</si>
  <si>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</si>
  <si>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</si>
  <si>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</si>
  <si>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</si>
  <si>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</si>
  <si>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</si>
  <si>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</si>
  <si>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</si>
  <si>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</si>
  <si>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</si>
  <si>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</si>
  <si>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</si>
  <si>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</si>
  <si>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</si>
  <si>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</si>
  <si>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</si>
  <si>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</si>
  <si>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</si>
  <si>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</si>
  <si>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</si>
  <si>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</si>
  <si>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</si>
  <si>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</si>
  <si>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</si>
  <si>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</si>
  <si>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</si>
  <si>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</si>
  <si>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</si>
  <si>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</si>
  <si>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</si>
  <si>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</si>
  <si>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</si>
  <si>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</si>
  <si>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</si>
  <si>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</si>
  <si>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</si>
  <si>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</si>
  <si>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</si>
  <si>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</si>
  <si>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</si>
  <si>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</si>
  <si>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</si>
  <si>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</si>
  <si>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</si>
  <si>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</si>
  <si>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</si>
  <si>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</si>
  <si>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</si>
  <si>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</si>
  <si>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</si>
  <si>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</si>
  <si>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</si>
  <si>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</si>
  <si>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</si>
  <si>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</si>
  <si>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</si>
  <si>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</si>
  <si>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</si>
  <si>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</si>
  <si>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</si>
  <si>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</si>
  <si>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</si>
  <si>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</si>
  <si>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</si>
  <si>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</si>
  <si>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</si>
  <si>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</si>
  <si>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</si>
  <si>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</si>
  <si>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</si>
  <si>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</si>
  <si>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</si>
  <si>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</si>
  <si>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</si>
  <si>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</si>
  <si>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</si>
  <si>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</si>
  <si>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</si>
  <si>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</si>
  <si>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</si>
  <si>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</si>
  <si>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</si>
  <si>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</si>
  <si>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</si>
  <si>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</si>
  <si>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</si>
  <si>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</si>
  <si>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</si>
  <si>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</si>
  <si>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</si>
  <si>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</si>
  <si>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</si>
  <si>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</si>
  <si>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</si>
  <si>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</si>
  <si>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</si>
  <si>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</si>
  <si>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</si>
  <si>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</si>
  <si>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</si>
  <si>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</si>
  <si>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</si>
  <si>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</si>
  <si>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</si>
  <si>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</si>
  <si>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</si>
  <si>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</si>
  <si>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</si>
  <si>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</si>
  <si>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</si>
  <si>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</si>
  <si>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</si>
  <si>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</si>
  <si>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</si>
  <si>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</si>
  <si>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</si>
  <si>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</si>
  <si>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</si>
  <si>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</si>
  <si>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</si>
  <si>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</si>
  <si>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</si>
  <si>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</si>
  <si>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</si>
  <si>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</si>
  <si>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</si>
  <si>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</si>
  <si>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</si>
  <si>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</si>
  <si>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</si>
  <si>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</si>
  <si>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</si>
  <si>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</si>
  <si>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</si>
  <si>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</si>
  <si>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</si>
  <si>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</si>
  <si>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</si>
  <si>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</si>
  <si>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</si>
  <si>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</si>
  <si>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</si>
  <si>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</si>
  <si>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</si>
  <si>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</si>
  <si>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</si>
  <si>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</si>
  <si>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</si>
  <si>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</si>
  <si>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</si>
  <si>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</si>
  <si>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</si>
  <si>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</si>
  <si>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</si>
  <si>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</si>
  <si>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</si>
  <si>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</si>
  <si>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</si>
  <si>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</si>
  <si>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</si>
  <si>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</si>
  <si>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</si>
  <si>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</si>
  <si>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</si>
  <si>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</si>
  <si>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</si>
  <si>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</si>
  <si>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</si>
  <si>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</si>
  <si>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</si>
  <si>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</si>
  <si>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</si>
  <si>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</si>
  <si>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</si>
  <si>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</si>
  <si>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</si>
  <si>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</si>
  <si>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</si>
  <si>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</si>
  <si>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</si>
  <si>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</si>
  <si>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</si>
  <si>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</si>
  <si>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</si>
  <si>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</si>
  <si>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</si>
  <si>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</si>
  <si>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</si>
  <si>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</si>
  <si>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</si>
  <si>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</si>
  <si>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</si>
  <si>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</si>
  <si>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</si>
  <si>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</si>
  <si>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</si>
  <si>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</si>
  <si>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</si>
  <si>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</si>
  <si>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</si>
  <si>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</si>
  <si>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</si>
  <si>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</si>
  <si>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</si>
  <si>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</si>
  <si>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</si>
  <si>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</si>
  <si>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</si>
  <si>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</si>
  <si>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</si>
  <si>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</si>
  <si>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</si>
  <si>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</si>
  <si>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</si>
  <si>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</si>
  <si>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</si>
  <si>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</si>
  <si>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</si>
  <si>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</si>
  <si>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</si>
  <si>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</si>
  <si>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</si>
  <si>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</si>
  <si>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</si>
  <si>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</si>
  <si>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</si>
  <si>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</si>
  <si>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</si>
  <si>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</si>
  <si>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</si>
  <si>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</si>
  <si>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</si>
  <si>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</si>
  <si>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</si>
  <si>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</si>
  <si>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</si>
  <si>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</si>
  <si>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</si>
  <si>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</si>
  <si>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</si>
  <si>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</si>
  <si>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</si>
  <si>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</si>
  <si>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</si>
  <si>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</si>
  <si>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</si>
  <si>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</si>
  <si>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</si>
  <si>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</si>
  <si>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</si>
  <si>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</si>
  <si>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</si>
  <si>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</si>
  <si>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</si>
  <si>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</si>
  <si>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</si>
  <si>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</si>
  <si>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</si>
  <si>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</si>
  <si>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</si>
  <si>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</si>
  <si>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</si>
  <si>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</si>
  <si>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</si>
  <si>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</si>
  <si>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</si>
  <si>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</si>
  <si>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</si>
  <si>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</si>
  <si>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</si>
  <si>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</si>
  <si>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</si>
  <si>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</si>
  <si>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</si>
  <si>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</si>
  <si>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</si>
  <si>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</si>
  <si>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</si>
  <si>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</si>
  <si>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</si>
  <si>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</si>
  <si>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</si>
  <si>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</si>
  <si>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</si>
  <si>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</si>
  <si>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</si>
  <si>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</si>
  <si>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</si>
  <si>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</si>
  <si>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</si>
  <si>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</si>
  <si>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</si>
  <si>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</si>
  <si>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</si>
  <si>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</si>
  <si>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</si>
  <si>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</si>
  <si>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</si>
  <si>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</si>
  <si>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</si>
  <si>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</si>
  <si>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</si>
  <si>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</si>
  <si>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</si>
  <si>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</si>
  <si>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</si>
  <si>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</si>
  <si>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</si>
  <si>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</si>
  <si>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</si>
  <si>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</si>
  <si>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</si>
  <si>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</si>
  <si>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</si>
  <si>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</si>
  <si>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</si>
  <si>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</si>
  <si>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</si>
  <si>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</si>
  <si>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</si>
  <si>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</si>
  <si>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</si>
  <si>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</si>
  <si>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</si>
  <si>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</si>
  <si>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</si>
  <si>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</si>
  <si>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</si>
  <si>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</si>
  <si>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</si>
  <si>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</si>
  <si>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</si>
  <si>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</si>
  <si>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</si>
  <si>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</si>
  <si>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</si>
  <si>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</si>
  <si>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</si>
  <si>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</si>
  <si>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</si>
  <si>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</si>
  <si>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</si>
  <si>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</si>
  <si>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</si>
  <si>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</si>
  <si>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</si>
  <si>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</si>
  <si>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</si>
  <si>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</si>
  <si>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</si>
  <si>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</si>
  <si>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</si>
  <si>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</si>
  <si>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</si>
  <si>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</si>
  <si>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</si>
  <si>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</si>
  <si>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</si>
  <si>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</si>
  <si>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</si>
  <si>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</si>
  <si>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</si>
  <si>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</si>
  <si>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</si>
  <si>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</si>
  <si>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</si>
  <si>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</si>
  <si>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</si>
  <si>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</si>
  <si>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</si>
  <si>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</si>
  <si>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</si>
  <si>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</si>
  <si>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</si>
  <si>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</si>
  <si>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</si>
  <si>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</si>
  <si>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</si>
  <si>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</si>
  <si>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</si>
  <si>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</si>
  <si>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</si>
  <si>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</si>
  <si>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</si>
  <si>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</si>
  <si>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</si>
  <si>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</si>
  <si>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</si>
  <si>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</si>
  <si>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</si>
  <si>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</si>
  <si>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</si>
  <si>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</si>
  <si>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</si>
  <si>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</si>
  <si>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</si>
  <si>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</si>
  <si>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</si>
  <si>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</si>
  <si>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</si>
  <si>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</si>
  <si>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</si>
  <si>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</si>
  <si>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</si>
  <si>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</si>
  <si>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</si>
  <si>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</si>
  <si>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</si>
  <si>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</si>
  <si>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</si>
  <si>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</si>
  <si>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</si>
  <si>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</si>
  <si>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</si>
  <si>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</si>
  <si>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</si>
  <si>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</si>
  <si>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</si>
  <si>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</si>
  <si>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</si>
  <si>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</si>
  <si>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</si>
  <si>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</si>
  <si>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</si>
  <si>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</si>
  <si>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</si>
  <si>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</si>
  <si>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</si>
  <si>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</si>
  <si>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</si>
  <si>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</si>
  <si>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</si>
  <si>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</si>
  <si>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</si>
  <si>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</si>
  <si>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</si>
  <si>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</si>
  <si>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</si>
  <si>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</si>
  <si>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</si>
  <si>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</si>
  <si>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</si>
  <si>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</si>
  <si>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</si>
  <si>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</si>
  <si>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</si>
  <si>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</si>
  <si>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</si>
  <si>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</si>
  <si>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</si>
  <si>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</si>
  <si>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</si>
  <si>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</si>
  <si>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</si>
  <si>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</si>
  <si>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</si>
  <si>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</si>
  <si>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</si>
  <si>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</si>
  <si>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</si>
  <si>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</si>
  <si>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</si>
  <si>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</si>
  <si>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</si>
  <si>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</si>
  <si>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</si>
  <si>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</si>
  <si>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</si>
  <si>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</si>
  <si>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</si>
  <si>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</si>
  <si>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</si>
  <si>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</si>
  <si>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</si>
  <si>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</si>
  <si>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</si>
  <si>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</si>
  <si>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</si>
  <si>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</si>
  <si>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</si>
  <si>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</si>
  <si>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</si>
  <si>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</si>
  <si>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</si>
  <si>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</si>
  <si>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</si>
  <si>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</si>
  <si>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</si>
  <si>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</si>
  <si>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</si>
  <si>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</si>
  <si>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</si>
  <si>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</si>
  <si>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</si>
  <si>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</si>
  <si>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</si>
  <si>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</si>
  <si>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</si>
  <si>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</si>
  <si>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</si>
  <si>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</si>
  <si>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</si>
  <si>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</si>
  <si>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</si>
  <si>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</si>
  <si>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</si>
  <si>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</si>
  <si>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</si>
  <si>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</si>
  <si>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</si>
  <si>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</si>
  <si>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</si>
  <si>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</si>
  <si>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</si>
  <si>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</si>
  <si>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</si>
  <si>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</si>
  <si>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</si>
  <si>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</si>
  <si>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</si>
  <si>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</si>
  <si>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</si>
  <si>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</si>
  <si>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</si>
  <si>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</si>
  <si>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</si>
  <si>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</si>
  <si>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</si>
  <si>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</si>
  <si>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</si>
  <si>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</si>
  <si>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</si>
  <si>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</si>
  <si>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</si>
  <si>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</si>
  <si>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</si>
  <si>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</si>
  <si>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</si>
  <si>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</si>
  <si>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</si>
  <si>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</si>
  <si>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</si>
  <si>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</si>
  <si>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</si>
  <si>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</si>
  <si>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</si>
  <si>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</si>
  <si>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</si>
  <si>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</si>
  <si>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</si>
  <si>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</si>
  <si>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</si>
  <si>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</si>
  <si>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</si>
  <si>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</si>
  <si>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</si>
  <si>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</si>
  <si>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</si>
  <si>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</si>
  <si>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</si>
  <si>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</si>
  <si>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</si>
  <si>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</si>
  <si>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</si>
  <si>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</si>
  <si>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</si>
  <si>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</si>
  <si>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</si>
  <si>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</si>
  <si>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</si>
  <si>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</si>
  <si>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</si>
  <si>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</si>
  <si>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</si>
  <si>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</si>
  <si>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</si>
  <si>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</si>
  <si>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</si>
  <si>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</si>
  <si>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</si>
  <si>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</si>
  <si>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</si>
  <si>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</si>
  <si>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</si>
  <si>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</si>
  <si>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</si>
  <si>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</si>
  <si>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</si>
  <si>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</si>
  <si>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</si>
  <si>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</si>
  <si>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</si>
  <si>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</si>
  <si>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</si>
  <si>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</si>
  <si>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</si>
  <si>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</si>
  <si>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</si>
  <si>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</si>
  <si>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</si>
  <si>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</si>
  <si>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</si>
  <si>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</si>
  <si>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</si>
  <si>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</si>
  <si>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</si>
  <si>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</si>
  <si>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</si>
  <si>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</si>
  <si>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</si>
  <si>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</si>
  <si>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</si>
  <si>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</si>
  <si>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</si>
  <si>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</si>
  <si>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</si>
  <si>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</si>
  <si>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</si>
  <si>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</si>
  <si>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</si>
  <si>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</si>
  <si>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</si>
  <si>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</si>
  <si>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</si>
  <si>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</si>
  <si>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</si>
  <si>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</si>
  <si>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</si>
  <si>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</si>
  <si>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</si>
  <si>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</si>
  <si>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</si>
  <si>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</si>
  <si>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</si>
  <si>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</si>
  <si>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</si>
  <si>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</si>
  <si>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</si>
  <si>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</si>
  <si>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</si>
  <si>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</si>
  <si>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</si>
  <si>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</si>
  <si>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</si>
  <si>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</si>
  <si>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</si>
  <si>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</si>
  <si>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</si>
  <si>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</si>
  <si>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</si>
  <si>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</si>
  <si>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</si>
  <si>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</si>
  <si>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</si>
  <si>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</si>
  <si>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</si>
  <si>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</si>
  <si>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</si>
  <si>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</si>
  <si>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</si>
  <si>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</si>
  <si>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</si>
  <si>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</si>
  <si>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</si>
  <si>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</si>
  <si>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</si>
  <si>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</si>
  <si>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</si>
  <si>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</si>
  <si>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</si>
  <si>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</si>
  <si>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</si>
  <si>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</si>
  <si>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</si>
  <si>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</si>
  <si>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</si>
  <si>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</si>
  <si>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</si>
  <si>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</si>
  <si>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</si>
  <si>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</si>
  <si>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</si>
  <si>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</si>
  <si>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</si>
  <si>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</si>
  <si>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</si>
  <si>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</si>
  <si>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</si>
  <si>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</si>
  <si>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</si>
  <si>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</si>
  <si>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</si>
  <si>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</si>
  <si>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</si>
  <si>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</si>
  <si>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</si>
  <si>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</si>
  <si>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</si>
  <si>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</si>
  <si>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</si>
  <si>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</si>
  <si>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</si>
  <si>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</si>
  <si>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</si>
  <si>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</si>
  <si>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</si>
  <si>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</si>
  <si>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</si>
  <si>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</si>
  <si>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</si>
  <si>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</si>
  <si>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</si>
  <si>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</si>
  <si>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</si>
  <si>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</si>
  <si>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</si>
  <si>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</si>
  <si>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</si>
  <si>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</si>
  <si>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</si>
  <si>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</si>
  <si>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</si>
  <si>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</si>
  <si>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</si>
  <si>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</si>
  <si>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</si>
  <si>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</si>
  <si>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</si>
  <si>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</si>
  <si>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</si>
  <si>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</si>
  <si>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</si>
  <si>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</si>
  <si>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</si>
  <si>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</si>
  <si>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</si>
  <si>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</si>
  <si>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</si>
  <si>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</si>
  <si>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</si>
  <si>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</si>
  <si>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</si>
  <si>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</si>
  <si>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</si>
  <si>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</si>
  <si>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</si>
  <si>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</si>
  <si>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</si>
  <si>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</si>
  <si>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</si>
  <si>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</si>
  <si>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</si>
  <si>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</si>
  <si>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</si>
  <si>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</si>
  <si>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</si>
  <si>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</si>
  <si>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</si>
  <si>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</si>
  <si>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</si>
  <si>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</si>
  <si>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</si>
  <si>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</si>
  <si>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</si>
  <si>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</si>
  <si>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</si>
  <si>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</si>
  <si>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</si>
  <si>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</si>
  <si>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</si>
  <si>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</si>
  <si>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</si>
  <si>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</si>
  <si>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</si>
  <si>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</si>
  <si>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</si>
  <si>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</si>
  <si>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</si>
  <si>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</si>
  <si>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</si>
  <si>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</si>
  <si>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</si>
  <si>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</si>
  <si>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</si>
  <si>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</si>
  <si>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</si>
  <si>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</si>
  <si>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</si>
  <si>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</si>
  <si>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</si>
  <si>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</si>
  <si>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</si>
  <si>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</si>
  <si>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</si>
  <si>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</si>
  <si>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</si>
  <si>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</si>
  <si>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</si>
  <si>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</si>
  <si>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</si>
  <si>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</si>
  <si>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</si>
  <si>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</si>
  <si>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</si>
  <si>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</si>
  <si>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</si>
  <si>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</si>
  <si>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</si>
  <si>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</si>
  <si>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</si>
  <si>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</si>
  <si>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</si>
  <si>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</si>
  <si>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</si>
  <si>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</si>
  <si>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</si>
  <si>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</si>
  <si>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</si>
  <si>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</si>
  <si>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</si>
  <si>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</si>
  <si>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</si>
  <si>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</si>
  <si>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</si>
  <si>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</si>
  <si>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</si>
  <si>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</si>
  <si>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</si>
  <si>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</si>
  <si>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</si>
  <si>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</si>
  <si>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</si>
  <si>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</si>
  <si>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</si>
  <si>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</si>
  <si>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</si>
  <si>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</si>
  <si>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</si>
  <si>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</si>
  <si>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</si>
  <si>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</si>
  <si>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</si>
  <si>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</si>
  <si>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</si>
  <si>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</si>
  <si>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</si>
  <si>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</si>
  <si>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</si>
  <si>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</si>
  <si>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</si>
  <si>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</si>
  <si>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</si>
  <si>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</si>
  <si>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</si>
  <si>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</si>
  <si>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</si>
  <si>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</si>
  <si>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</si>
  <si>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</si>
  <si>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</si>
  <si>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</si>
  <si>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</si>
  <si>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</si>
  <si>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</si>
  <si>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</si>
  <si>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</si>
  <si>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</si>
  <si>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</si>
  <si>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</si>
  <si>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</si>
  <si>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</si>
  <si>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</si>
  <si>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</si>
  <si>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</si>
  <si>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</si>
  <si>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</si>
  <si>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</si>
  <si>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</si>
  <si>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</si>
  <si>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</si>
  <si>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</si>
  <si>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</si>
  <si>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</si>
  <si>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</si>
  <si>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</si>
  <si>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</si>
  <si>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</si>
  <si>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</si>
  <si>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</si>
  <si>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</si>
  <si>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</si>
  <si>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</si>
  <si>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</si>
  <si>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</si>
  <si>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</si>
  <si>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</si>
  <si>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</si>
  <si>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</si>
  <si>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</si>
  <si>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</si>
  <si>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</si>
  <si>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</si>
  <si>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</si>
  <si>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</si>
  <si>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</si>
  <si>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</si>
  <si>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</si>
  <si>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</si>
  <si>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</si>
  <si>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</si>
  <si>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</si>
  <si>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</si>
  <si>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</si>
  <si>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</si>
  <si>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</si>
  <si>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</si>
  <si>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</si>
  <si>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</si>
  <si>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</si>
  <si>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</si>
  <si>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</si>
  <si>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</si>
  <si>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</si>
  <si>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</si>
  <si>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</si>
  <si>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</si>
  <si>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</si>
  <si>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</si>
  <si>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</si>
  <si>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</si>
  <si>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</si>
  <si>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</si>
  <si>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</si>
  <si>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</si>
  <si>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</si>
  <si>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</si>
  <si>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</si>
  <si>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</si>
  <si>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</si>
  <si>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</si>
  <si>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</si>
  <si>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</si>
  <si>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</si>
  <si>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</si>
  <si>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</si>
  <si>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</si>
  <si>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</si>
  <si>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</si>
  <si>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</si>
  <si>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</si>
  <si>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</si>
  <si>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</si>
  <si>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</si>
  <si>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</si>
  <si>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</si>
  <si>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</si>
  <si>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</si>
  <si>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</si>
  <si>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</si>
  <si>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</si>
  <si>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</si>
  <si>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</si>
  <si>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</si>
  <si>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</si>
  <si>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</si>
  <si>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</si>
  <si>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</si>
  <si>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</si>
  <si>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</si>
  <si>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</si>
  <si>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</si>
  <si>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</si>
  <si>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</si>
  <si>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</si>
  <si>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</si>
  <si>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</si>
  <si>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</si>
  <si>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</si>
  <si>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</si>
  <si>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</si>
  <si>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</si>
  <si>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</si>
  <si>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</si>
  <si>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</si>
  <si>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</si>
  <si>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</si>
  <si>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</si>
  <si>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</si>
  <si>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</si>
  <si>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</si>
  <si>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</si>
  <si>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</si>
  <si>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</si>
  <si>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</si>
  <si>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</si>
  <si>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</si>
  <si>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</si>
  <si>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</si>
  <si>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</si>
  <si>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</si>
  <si>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</si>
  <si>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</si>
  <si>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</si>
  <si>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</si>
  <si>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</si>
  <si>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</si>
  <si>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</si>
  <si>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</si>
  <si>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</si>
  <si>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</si>
  <si>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</si>
  <si>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</si>
  <si>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</si>
  <si>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</si>
  <si>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</si>
  <si>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</si>
  <si>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</si>
  <si>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</si>
  <si>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</si>
  <si>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</si>
  <si>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</si>
  <si>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</si>
  <si>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</si>
  <si>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</si>
  <si>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</si>
  <si>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</si>
  <si>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</si>
  <si>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</si>
  <si>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</si>
  <si>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</si>
  <si>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</si>
  <si>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</si>
  <si>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</si>
  <si>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</si>
  <si>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</si>
  <si>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</si>
  <si>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</si>
  <si>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</si>
  <si>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</si>
  <si>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</si>
  <si>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</si>
  <si>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</si>
  <si>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</si>
  <si>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</si>
  <si>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</si>
  <si>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</si>
  <si>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</si>
  <si>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</si>
  <si>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</si>
  <si>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</si>
  <si>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</si>
  <si>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</si>
  <si>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</si>
  <si>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</si>
  <si>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</si>
  <si>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</si>
  <si>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</si>
  <si>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</si>
  <si>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</si>
  <si>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</si>
  <si>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</si>
  <si>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</si>
  <si>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</si>
  <si>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</si>
  <si>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</si>
  <si>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</si>
  <si>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</si>
  <si>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</si>
  <si>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</si>
  <si>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</si>
  <si>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</si>
  <si>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</si>
  <si>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</si>
  <si>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</si>
  <si>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</si>
  <si>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</si>
  <si>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</si>
  <si>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</si>
  <si>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</si>
  <si>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</si>
  <si>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</si>
  <si>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</si>
  <si>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</si>
  <si>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</si>
  <si>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</si>
  <si>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</si>
  <si>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</si>
  <si>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</si>
  <si>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</si>
  <si>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</si>
  <si>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</si>
  <si>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</si>
  <si>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</si>
  <si>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</si>
  <si>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</si>
  <si>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</si>
  <si>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</si>
  <si>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</si>
  <si>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</si>
  <si>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</si>
  <si>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</si>
  <si>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</si>
  <si>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</si>
  <si>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</si>
  <si>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</si>
  <si>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</si>
  <si>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</si>
  <si>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</si>
  <si>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</si>
  <si>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</si>
  <si>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</si>
  <si>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</si>
  <si>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</si>
  <si>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</si>
  <si>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</si>
  <si>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</si>
  <si>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</si>
  <si>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</si>
  <si>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</si>
  <si>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</si>
  <si>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</si>
  <si>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</si>
  <si>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</si>
  <si>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</si>
  <si>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</si>
  <si>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</si>
  <si>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</si>
  <si>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</si>
  <si>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</si>
  <si>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</si>
  <si>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</si>
  <si>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</si>
  <si>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</si>
  <si>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</si>
  <si>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</si>
  <si>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</si>
  <si>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</si>
  <si>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</si>
  <si>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</si>
  <si>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</si>
  <si>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</si>
  <si>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</si>
  <si>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</si>
  <si>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</si>
  <si>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</si>
  <si>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</si>
  <si>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</si>
  <si>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</si>
  <si>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</si>
  <si>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</si>
  <si>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</si>
  <si>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</si>
  <si>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</si>
  <si>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</si>
  <si>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</si>
  <si>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</si>
  <si>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</si>
  <si>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</si>
  <si>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</si>
  <si>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</si>
  <si>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</si>
  <si>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</si>
  <si>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</si>
  <si>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</si>
  <si>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</si>
  <si>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</si>
  <si>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</si>
  <si>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</si>
  <si>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</si>
  <si>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</si>
  <si>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</si>
  <si>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</si>
  <si>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</si>
  <si>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</si>
  <si>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</si>
  <si>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</si>
  <si>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</si>
  <si>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</si>
  <si>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</si>
  <si>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</si>
  <si>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</si>
  <si>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</si>
  <si>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</si>
  <si>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</si>
  <si>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</si>
  <si>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</si>
  <si>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</si>
  <si>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</si>
  <si>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</si>
  <si>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</si>
  <si>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</si>
  <si>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</si>
  <si>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</si>
  <si>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</si>
  <si>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</si>
  <si>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</si>
  <si>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</si>
  <si>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</si>
  <si>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</si>
  <si>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</si>
  <si>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</si>
  <si>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</si>
  <si>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</si>
  <si>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</si>
  <si>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</si>
  <si>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</si>
  <si>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</si>
  <si>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</si>
  <si>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</si>
  <si>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</si>
  <si>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</si>
  <si>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</si>
  <si>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</si>
  <si>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</si>
  <si>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</si>
  <si>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</si>
  <si>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</si>
  <si>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</si>
  <si>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</si>
  <si>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</si>
  <si>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</si>
  <si>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</si>
  <si>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</si>
  <si>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</si>
  <si>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</si>
  <si>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</si>
  <si>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</si>
  <si>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</si>
  <si>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</si>
  <si>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</si>
  <si>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</si>
  <si>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</si>
  <si>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</si>
  <si>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</si>
  <si>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</si>
  <si>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</si>
  <si>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</si>
  <si>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</si>
  <si>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</si>
  <si>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</si>
  <si>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</si>
  <si>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</si>
  <si>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</si>
  <si>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</si>
  <si>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</si>
  <si>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</si>
  <si>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</si>
  <si>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</si>
  <si>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</si>
  <si>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</si>
  <si>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</si>
  <si>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</si>
  <si>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</si>
  <si>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</si>
  <si>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</si>
  <si>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</si>
  <si>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</si>
  <si>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</si>
  <si>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</si>
  <si>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</si>
  <si>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</si>
  <si>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</si>
  <si>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</si>
  <si>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</si>
  <si>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</si>
  <si>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</si>
  <si>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</si>
  <si>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</si>
  <si>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</si>
  <si>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</si>
  <si>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</si>
  <si>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</si>
  <si>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</si>
  <si>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</si>
  <si>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</si>
  <si>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</si>
  <si>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</si>
  <si>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</si>
  <si>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</si>
  <si>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</si>
  <si>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</si>
  <si>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</si>
  <si>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</si>
  <si>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</si>
  <si>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</si>
  <si>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</si>
  <si>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</si>
  <si>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</si>
  <si>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</si>
  <si>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</si>
  <si>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</si>
  <si>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</si>
  <si>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</si>
  <si>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</si>
  <si>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</si>
  <si>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</si>
  <si>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</si>
  <si>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</si>
  <si>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</si>
  <si>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</si>
  <si>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</si>
  <si>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</si>
  <si>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</si>
  <si>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</si>
  <si>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</si>
  <si>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</si>
  <si>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</si>
  <si>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</si>
  <si>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</si>
  <si>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</si>
  <si>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</si>
  <si>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</si>
  <si>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</si>
  <si>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</si>
  <si>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</si>
  <si>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</si>
  <si>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</si>
  <si>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</si>
  <si>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</si>
  <si>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</si>
  <si>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</si>
  <si>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</si>
  <si>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</si>
  <si>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</si>
  <si>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</si>
  <si>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</si>
  <si>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</si>
  <si>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</si>
  <si>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</si>
  <si>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</si>
  <si>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</si>
  <si>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</si>
  <si>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</si>
  <si>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</si>
  <si>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</si>
  <si>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</si>
  <si>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</si>
  <si>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</si>
  <si>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</si>
  <si>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</si>
  <si>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</si>
  <si>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</si>
  <si>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</si>
  <si>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</si>
  <si>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</si>
  <si>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</si>
  <si>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</si>
  <si>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</si>
  <si>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</si>
  <si>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</si>
  <si>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</si>
  <si>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</si>
  <si>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</si>
  <si>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</si>
  <si>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</si>
  <si>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</si>
  <si>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</si>
  <si>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</si>
  <si>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</si>
  <si>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</si>
  <si>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</si>
  <si>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</si>
  <si>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</si>
  <si>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</si>
  <si>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</si>
  <si>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</si>
  <si>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</si>
  <si>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</si>
  <si>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</si>
  <si>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</si>
  <si>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</si>
  <si>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</si>
  <si>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</si>
  <si>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</si>
  <si>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</si>
  <si>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</si>
  <si>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</si>
  <si>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</si>
  <si>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</si>
  <si>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</si>
  <si>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</si>
  <si>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</si>
  <si>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</si>
  <si>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</si>
  <si>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</si>
  <si>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</si>
  <si>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</si>
  <si>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</si>
  <si>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</si>
  <si>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</si>
  <si>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</si>
  <si>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</si>
  <si>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</si>
  <si>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</si>
  <si>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</si>
  <si>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</si>
  <si>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</si>
  <si>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</si>
  <si>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</si>
  <si>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</si>
  <si>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</si>
  <si>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</si>
  <si>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</si>
  <si>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</si>
  <si>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</si>
  <si>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</si>
  <si>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</si>
  <si>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</si>
  <si>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</si>
  <si>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</si>
  <si>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</si>
  <si>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</si>
  <si>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</si>
  <si>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</si>
  <si>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</si>
  <si>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</si>
  <si>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</si>
  <si>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</si>
  <si>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</si>
  <si>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</si>
  <si>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</si>
  <si>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</si>
  <si>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</si>
  <si>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</si>
  <si>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</si>
  <si>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</si>
  <si>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</si>
  <si>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</si>
  <si>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</si>
  <si>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</si>
  <si>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</si>
  <si>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</si>
  <si>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</si>
  <si>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</si>
  <si>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</si>
  <si>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</si>
  <si>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</si>
  <si>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</si>
  <si>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</si>
  <si>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</si>
  <si>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</si>
  <si>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</si>
  <si>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</si>
  <si>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</si>
  <si>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</si>
  <si>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</si>
  <si>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</si>
  <si>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</si>
  <si>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</si>
  <si>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</si>
  <si>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</si>
  <si>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</si>
  <si>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</si>
  <si>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</si>
  <si>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</si>
  <si>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</si>
  <si>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</si>
  <si>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</si>
  <si>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</si>
  <si>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</si>
  <si>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</si>
  <si>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</si>
  <si>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</si>
  <si>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</si>
  <si>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</si>
  <si>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</si>
  <si>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</si>
  <si>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</si>
  <si>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</si>
  <si>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</si>
  <si>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</si>
  <si>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</si>
  <si>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</si>
  <si>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</si>
  <si>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</si>
  <si>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</si>
  <si>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</si>
  <si>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</si>
  <si>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</si>
  <si>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</si>
  <si>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</si>
  <si>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</si>
  <si>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</si>
  <si>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</si>
  <si>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</si>
  <si>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</si>
  <si>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</si>
  <si>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</si>
  <si>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</si>
  <si>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</si>
  <si>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</si>
  <si>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</si>
  <si>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</si>
  <si>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</si>
  <si>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</si>
  <si>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</si>
  <si>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</si>
  <si>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</si>
  <si>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</si>
  <si>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</si>
  <si>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</si>
  <si>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</si>
  <si>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</si>
  <si>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</si>
  <si>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</si>
  <si>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</si>
  <si>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</si>
  <si>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</si>
  <si>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</si>
  <si>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</si>
  <si>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</si>
  <si>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</si>
  <si>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</si>
  <si>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</si>
  <si>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</si>
  <si>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</si>
  <si>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</si>
  <si>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</si>
  <si>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</si>
  <si>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</si>
  <si>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</si>
  <si>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</si>
  <si>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</si>
  <si>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</si>
  <si>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</si>
  <si>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</si>
  <si>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</si>
  <si>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</si>
  <si>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</si>
  <si>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</si>
  <si>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</si>
  <si>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</si>
  <si>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</si>
  <si>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</si>
  <si>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</si>
  <si>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</si>
  <si>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</si>
  <si>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</si>
  <si>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</si>
  <si>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</si>
  <si>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</si>
  <si>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</si>
  <si>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</si>
  <si>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</si>
  <si>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</si>
  <si>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</si>
  <si>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</si>
  <si>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</si>
  <si>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</si>
  <si>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</si>
  <si>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</si>
  <si>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</si>
  <si>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</si>
  <si>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</si>
  <si>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</si>
  <si>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</si>
  <si>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</si>
  <si>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</si>
  <si>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</si>
  <si>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</si>
  <si>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</si>
  <si>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</si>
  <si>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</si>
  <si>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</si>
  <si>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</si>
  <si>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</si>
  <si>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</si>
  <si>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</si>
  <si>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</si>
  <si>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</si>
  <si>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</si>
  <si>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</si>
  <si>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</si>
  <si>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</si>
  <si>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</si>
  <si>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</si>
  <si>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</si>
  <si>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</si>
  <si>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</si>
  <si>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</si>
  <si>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</si>
  <si>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</si>
  <si>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</si>
  <si>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</si>
  <si>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</si>
  <si>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</si>
  <si>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</si>
  <si>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</si>
  <si>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</si>
  <si>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</si>
  <si>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</si>
  <si>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</si>
  <si>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</si>
  <si>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</si>
  <si>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</si>
  <si>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</si>
  <si>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</si>
  <si>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</si>
  <si>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</si>
  <si>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</si>
  <si>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</si>
  <si>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</si>
  <si>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</si>
  <si>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</si>
  <si>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</si>
  <si>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</si>
  <si>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</si>
  <si>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</si>
  <si>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</si>
  <si>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</si>
  <si>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</si>
  <si>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</si>
  <si>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</si>
  <si>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</si>
  <si>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</si>
  <si>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</si>
  <si>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</si>
  <si>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</si>
  <si>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</si>
  <si>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</si>
  <si>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</si>
  <si>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</si>
  <si>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</si>
  <si>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</si>
  <si>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</si>
  <si>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</si>
  <si>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</si>
  <si>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</si>
  <si>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</si>
  <si>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</si>
  <si>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</si>
  <si>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</si>
  <si>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</si>
  <si>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</si>
  <si>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</si>
  <si>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</si>
  <si>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</si>
  <si>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</si>
  <si>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</si>
  <si>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</si>
  <si>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</si>
  <si>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</si>
  <si>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</si>
  <si>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</si>
  <si>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</si>
  <si>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</si>
  <si>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</si>
  <si>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</si>
  <si>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</si>
  <si>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</si>
  <si>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</si>
  <si>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</si>
  <si>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</si>
  <si>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</si>
  <si>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</si>
  <si>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</si>
  <si>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</si>
  <si>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</si>
  <si>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</si>
  <si>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</si>
  <si>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</si>
  <si>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</si>
  <si>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</si>
  <si>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</si>
  <si>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</si>
  <si>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</si>
  <si>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</si>
  <si>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</si>
  <si>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</si>
  <si>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</si>
  <si>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</si>
  <si>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</si>
  <si>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</si>
  <si>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</si>
  <si>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</si>
  <si>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</si>
  <si>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</si>
  <si>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</si>
  <si>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</si>
  <si>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</si>
  <si>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</si>
  <si>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</si>
  <si>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</si>
  <si>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</si>
  <si>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</si>
  <si>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</si>
  <si>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</si>
  <si>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</si>
  <si>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</si>
  <si>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</si>
  <si>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</si>
  <si>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</si>
  <si>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</si>
  <si>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</si>
  <si>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</si>
  <si>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</si>
  <si>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</si>
  <si>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</si>
  <si>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</si>
  <si>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</si>
  <si>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</si>
  <si>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</si>
  <si>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</si>
  <si>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</si>
  <si>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</si>
  <si>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</si>
  <si>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</si>
  <si>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</si>
  <si>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</si>
  <si>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</si>
  <si>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</si>
  <si>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</si>
  <si>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</si>
  <si>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</si>
  <si>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</si>
  <si>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</si>
  <si>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</si>
  <si>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</si>
  <si>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</si>
  <si>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</si>
  <si>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</si>
  <si>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</si>
  <si>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</si>
  <si>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</si>
  <si>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</si>
  <si>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</si>
  <si>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</si>
  <si>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</si>
  <si>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</si>
  <si>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</si>
  <si>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</si>
  <si>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</si>
  <si>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</si>
  <si>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</si>
  <si>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</si>
  <si>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</si>
  <si>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</si>
  <si>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</si>
  <si>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</si>
  <si>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</si>
  <si>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</si>
  <si>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</si>
  <si>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</si>
  <si>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</si>
  <si>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</si>
  <si>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</si>
  <si>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</si>
  <si>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</si>
  <si>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</si>
  <si>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</si>
  <si>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</si>
  <si>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</si>
  <si>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</si>
  <si>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</si>
  <si>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</si>
  <si>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</si>
  <si>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</si>
  <si>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</si>
  <si>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</si>
  <si>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</si>
  <si>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</si>
  <si>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</si>
  <si>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</si>
  <si>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</si>
  <si>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</si>
  <si>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</si>
  <si>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</si>
  <si>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</si>
  <si>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</si>
  <si>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</si>
  <si>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</si>
  <si>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</si>
  <si>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</si>
  <si>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</si>
  <si>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</si>
  <si>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</si>
  <si>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</si>
  <si>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</si>
  <si>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</si>
  <si>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</si>
  <si>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</si>
  <si>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</si>
  <si>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</si>
  <si>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</si>
  <si>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</si>
  <si>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</si>
  <si>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</si>
  <si>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</si>
  <si>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</si>
  <si>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</si>
  <si>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</si>
  <si>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</si>
  <si>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</si>
  <si>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</si>
  <si>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</si>
  <si>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</si>
  <si>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</si>
  <si>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</si>
  <si>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</si>
  <si>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</si>
  <si>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</si>
  <si>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</si>
  <si>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</si>
  <si>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</si>
  <si>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</si>
  <si>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</si>
  <si>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</si>
  <si>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</si>
  <si>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</si>
  <si>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</si>
  <si>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</si>
  <si>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</si>
  <si>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</si>
  <si>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</si>
  <si>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</si>
  <si>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</si>
  <si>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</si>
  <si>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</si>
  <si>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</si>
  <si>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</si>
  <si>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</si>
  <si>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</si>
  <si>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</si>
  <si>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</si>
  <si>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</si>
  <si>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</si>
  <si>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</si>
  <si>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</si>
  <si>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</si>
  <si>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</si>
  <si>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</si>
  <si>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</si>
  <si>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</si>
  <si>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</si>
  <si>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</si>
  <si>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</si>
  <si>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</si>
  <si>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</si>
  <si>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</si>
  <si>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</si>
  <si>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</si>
  <si>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</si>
  <si>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</si>
  <si>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</si>
  <si>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</si>
  <si>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</si>
  <si>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</si>
  <si>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</si>
  <si>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</si>
  <si>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</si>
  <si>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</si>
  <si>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</si>
  <si>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</si>
  <si>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</si>
  <si>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</si>
  <si>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</si>
  <si>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</si>
  <si>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</si>
  <si>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</si>
  <si>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</si>
  <si>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</si>
  <si>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</si>
  <si>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</si>
  <si>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</si>
  <si>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</si>
  <si>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</si>
  <si>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</si>
  <si>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</si>
  <si>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</si>
  <si>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</si>
  <si>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</si>
  <si>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</si>
  <si>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</si>
  <si>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</si>
  <si>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</si>
  <si>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</si>
  <si>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</si>
  <si>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</si>
  <si>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</si>
  <si>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</si>
  <si>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</si>
  <si>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</si>
  <si>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</si>
  <si>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</si>
  <si>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</si>
  <si>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</si>
  <si>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</si>
  <si>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</si>
  <si>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</si>
  <si>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</si>
  <si>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</si>
  <si>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</si>
  <si>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</si>
  <si>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</si>
  <si>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</si>
  <si>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</si>
  <si>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</si>
  <si>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</si>
  <si>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</si>
  <si>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</si>
  <si>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</si>
  <si>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</si>
  <si>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</si>
  <si>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</si>
  <si>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</si>
  <si>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</si>
  <si>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</si>
  <si>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</si>
  <si>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</si>
  <si>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</si>
  <si>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</si>
  <si>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</si>
  <si>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</si>
  <si>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</si>
  <si>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</si>
  <si>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</si>
  <si>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</si>
  <si>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</si>
  <si>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</si>
  <si>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</si>
  <si>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</si>
  <si>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</si>
  <si>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</si>
  <si>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</si>
  <si>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</si>
  <si>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</si>
  <si>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</si>
  <si>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</si>
  <si>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</si>
  <si>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</si>
  <si>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</si>
  <si>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</si>
  <si>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</si>
  <si>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</si>
  <si>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</si>
  <si>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</si>
  <si>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</si>
  <si>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</si>
  <si>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</si>
  <si>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</si>
  <si>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</si>
  <si>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</si>
  <si>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</si>
  <si>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</si>
  <si>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</si>
  <si>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</si>
  <si>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</si>
  <si>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</si>
  <si>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</si>
  <si>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</si>
  <si>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</si>
  <si>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</si>
  <si>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</si>
  <si>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</si>
  <si>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</si>
  <si>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</si>
  <si>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</si>
  <si>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</si>
  <si>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</si>
  <si>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</si>
  <si>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</si>
  <si>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</si>
  <si>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</si>
  <si>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</si>
  <si>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</si>
  <si>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</si>
  <si>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</si>
  <si>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</si>
  <si>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</si>
  <si>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</si>
  <si>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</si>
  <si>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</si>
  <si>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</si>
  <si>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</si>
  <si>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</si>
  <si>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</si>
  <si>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</si>
  <si>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</si>
  <si>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</si>
  <si>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</si>
  <si>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</si>
  <si>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</si>
  <si>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</si>
  <si>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</si>
  <si>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</si>
  <si>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</si>
  <si>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</si>
  <si>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</si>
  <si>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</si>
  <si>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</si>
  <si>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</si>
  <si>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</si>
  <si>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</si>
  <si>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</si>
  <si>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</si>
  <si>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</si>
  <si>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</si>
  <si>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</si>
  <si>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</si>
  <si>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</si>
  <si>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</si>
  <si>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</si>
  <si>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</si>
  <si>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</si>
  <si>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</si>
  <si>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</si>
  <si>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</si>
  <si>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</si>
  <si>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</si>
  <si>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</si>
  <si>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</si>
  <si>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</si>
  <si>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</si>
  <si>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</si>
  <si>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</si>
  <si>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</si>
  <si>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</si>
  <si>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</si>
  <si>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</si>
  <si>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</si>
  <si>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</si>
  <si>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</si>
  <si>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</si>
  <si>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</si>
  <si>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</si>
  <si>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</si>
  <si>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</si>
  <si>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</si>
  <si>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</si>
  <si>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</si>
  <si>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</si>
  <si>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</si>
  <si>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</si>
  <si>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</si>
  <si>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</si>
  <si>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</si>
  <si>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</si>
  <si>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</si>
  <si>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</si>
  <si>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</si>
  <si>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</si>
  <si>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</si>
  <si>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</si>
  <si>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</si>
  <si>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</si>
  <si>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</si>
  <si>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</si>
  <si>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</si>
  <si>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</si>
  <si>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</si>
  <si>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</si>
  <si>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</si>
  <si>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</si>
  <si>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</si>
  <si>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</si>
  <si>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</si>
  <si>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</si>
  <si>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</si>
  <si>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</si>
  <si>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</si>
  <si>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</si>
  <si>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</si>
  <si>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</si>
  <si>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</si>
  <si>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</si>
  <si>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</si>
  <si>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</si>
  <si>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</si>
  <si>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</si>
  <si>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</si>
  <si>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</si>
  <si>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</si>
  <si>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</si>
  <si>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</si>
  <si>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</si>
  <si>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</si>
  <si>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</si>
  <si>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</si>
  <si>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</si>
  <si>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</si>
  <si>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</si>
  <si>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</si>
  <si>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</si>
  <si>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</si>
  <si>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</si>
  <si>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</si>
  <si>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</si>
  <si>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</si>
  <si>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</si>
  <si>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</si>
  <si>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</si>
  <si>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</si>
  <si>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</si>
  <si>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</si>
  <si>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</si>
  <si>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</si>
  <si>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</si>
  <si>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</si>
  <si>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</si>
  <si>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</si>
  <si>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</si>
  <si>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</si>
  <si>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</si>
  <si>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</si>
  <si>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</si>
  <si>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</si>
  <si>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</si>
  <si>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</si>
  <si>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</si>
  <si>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</si>
  <si>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</si>
  <si>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</si>
  <si>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</si>
  <si>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</si>
  <si>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</si>
  <si>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</si>
  <si>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</si>
  <si>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</si>
  <si>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</si>
  <si>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</si>
  <si>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</si>
  <si>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</si>
  <si>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</si>
  <si>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</si>
  <si>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</si>
  <si>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</si>
  <si>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</si>
  <si>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</si>
  <si>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</si>
  <si>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</si>
  <si>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</si>
  <si>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</si>
  <si>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</si>
  <si>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</si>
  <si>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</si>
  <si>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</si>
  <si>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</si>
  <si>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</si>
  <si>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</si>
  <si>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</si>
  <si>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</si>
  <si>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</si>
  <si>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</si>
  <si>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</si>
  <si>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</si>
  <si>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</si>
  <si>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</si>
  <si>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</si>
  <si>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</si>
  <si>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</si>
  <si>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</si>
  <si>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</si>
  <si>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</si>
  <si>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</si>
  <si>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</si>
  <si>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</si>
  <si>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</si>
  <si>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</si>
  <si>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</si>
  <si>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</si>
  <si>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</si>
  <si>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</si>
  <si>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</si>
  <si>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</si>
  <si>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</si>
  <si>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</si>
  <si>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</si>
  <si>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</si>
  <si>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</si>
  <si>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</si>
  <si>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</si>
  <si>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</si>
  <si>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</si>
  <si>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</si>
  <si>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</si>
  <si>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</si>
  <si>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</si>
  <si>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</si>
  <si>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</si>
  <si>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</si>
  <si>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</si>
  <si>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</si>
  <si>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</si>
  <si>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</si>
  <si>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</si>
  <si>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</si>
  <si>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</si>
  <si>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</si>
  <si>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</si>
  <si>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</si>
  <si>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</si>
  <si>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</si>
  <si>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</si>
  <si>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</si>
  <si>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</si>
  <si>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</si>
  <si>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</si>
  <si>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</si>
  <si>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</si>
  <si>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</si>
  <si>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</si>
  <si>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</si>
  <si>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</si>
  <si>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</si>
  <si>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</si>
  <si>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</si>
  <si>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</si>
  <si>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</si>
  <si>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</si>
  <si>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</si>
  <si>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</si>
  <si>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</si>
  <si>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</si>
  <si>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</si>
  <si>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</si>
  <si>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</si>
  <si>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</si>
  <si>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</si>
  <si>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</si>
  <si>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</si>
  <si>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</si>
  <si>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</si>
  <si>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</si>
  <si>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</si>
  <si>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</si>
  <si>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</si>
  <si>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</si>
  <si>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</si>
  <si>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</si>
  <si>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</si>
  <si>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</si>
  <si>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</si>
  <si>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</si>
  <si>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</si>
  <si>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</si>
  <si>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</si>
  <si>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</si>
  <si>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</si>
  <si>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</si>
  <si>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</si>
  <si>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</si>
  <si>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</si>
  <si>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</si>
  <si>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</si>
  <si>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</si>
  <si>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</si>
  <si>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</si>
  <si>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</si>
  <si>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</si>
  <si>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</si>
  <si>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</si>
  <si>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</si>
  <si>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</si>
  <si>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</si>
  <si>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</si>
  <si>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</si>
  <si>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</si>
  <si>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</si>
  <si>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</si>
  <si>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</si>
  <si>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</si>
  <si>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</si>
  <si>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</si>
  <si>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</si>
  <si>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</si>
  <si>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</si>
  <si>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</si>
  <si>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</si>
  <si>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</si>
  <si>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</si>
  <si>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</si>
  <si>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</si>
  <si>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</si>
  <si>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</si>
  <si>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</si>
  <si>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</si>
  <si>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</si>
  <si>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</si>
  <si>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</si>
  <si>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</si>
  <si>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</si>
  <si>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</si>
  <si>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</si>
  <si>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</si>
  <si>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</si>
  <si>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</si>
  <si>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</si>
  <si>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</si>
  <si>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</si>
  <si>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</si>
  <si>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</si>
  <si>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</si>
  <si>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</si>
  <si>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</si>
  <si>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</si>
  <si>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</si>
  <si>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</si>
  <si>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</si>
  <si>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</si>
  <si>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</si>
  <si>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</si>
  <si>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</si>
  <si>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</si>
  <si>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</si>
  <si>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</si>
  <si>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</si>
  <si>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</si>
  <si>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</si>
  <si>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</si>
  <si>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</si>
  <si>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</si>
  <si>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</si>
  <si>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</si>
  <si>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</si>
  <si>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</si>
  <si>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</si>
  <si>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</si>
  <si>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</si>
  <si>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</si>
  <si>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</si>
  <si>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</si>
  <si>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</si>
  <si>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</si>
  <si>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</si>
  <si>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</si>
  <si>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</si>
  <si>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</si>
  <si>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</si>
  <si>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</si>
  <si>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</si>
  <si>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</si>
  <si>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</si>
  <si>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</si>
  <si>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</si>
  <si>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</si>
  <si>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</si>
  <si>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</si>
  <si>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</si>
  <si>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</si>
  <si>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</si>
  <si>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</si>
  <si>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</si>
  <si>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</si>
  <si>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</si>
  <si>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</si>
  <si>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</si>
  <si>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</si>
  <si>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</si>
  <si>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</si>
  <si>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</si>
  <si>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</si>
  <si>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</si>
  <si>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</si>
  <si>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</si>
  <si>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</si>
  <si>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</si>
  <si>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</si>
  <si>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</si>
  <si>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</si>
  <si>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</si>
  <si>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</si>
  <si>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</si>
  <si>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</si>
  <si>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</si>
  <si>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</si>
  <si>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</si>
  <si>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</si>
  <si>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</si>
  <si>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</si>
  <si>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</si>
  <si>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</si>
  <si>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</si>
  <si>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</si>
  <si>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</si>
  <si>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</si>
  <si>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</si>
  <si>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</si>
  <si>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</si>
  <si>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</si>
  <si>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</si>
  <si>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</si>
  <si>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</si>
  <si>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</si>
  <si>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</si>
  <si>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</si>
  <si>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</si>
  <si>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</si>
  <si>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</si>
  <si>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</si>
  <si>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</si>
  <si>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</si>
  <si>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</si>
  <si>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</si>
  <si>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</si>
  <si>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</si>
  <si>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</si>
  <si>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</si>
  <si>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</si>
  <si>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</si>
  <si>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</si>
  <si>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</si>
  <si>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</si>
  <si>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</si>
  <si>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</si>
  <si>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</si>
  <si>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</si>
  <si>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</si>
  <si>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</si>
  <si>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</si>
  <si>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</si>
  <si>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</si>
  <si>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</si>
  <si>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</si>
  <si>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</si>
  <si>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</si>
  <si>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</si>
  <si>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</si>
  <si>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</si>
  <si>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</si>
  <si>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</si>
  <si>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</si>
  <si>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</si>
  <si>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</si>
  <si>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</si>
  <si>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</si>
  <si>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</si>
  <si>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</si>
  <si>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</si>
  <si>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</si>
  <si>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</si>
  <si>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</si>
  <si>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</si>
  <si>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</si>
  <si>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</si>
  <si>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</si>
  <si>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</si>
  <si>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</si>
  <si>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</si>
  <si>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</si>
  <si>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</si>
  <si>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</si>
  <si>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</si>
  <si>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</si>
  <si>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</si>
  <si>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</si>
  <si>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</si>
  <si>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</si>
  <si>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</si>
  <si>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</si>
  <si>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</si>
  <si>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</si>
  <si>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</si>
  <si>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</si>
  <si>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</si>
  <si>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</si>
  <si>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</si>
  <si>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</si>
  <si>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</si>
  <si>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</si>
  <si>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</si>
  <si>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</si>
  <si>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</si>
  <si>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</si>
  <si>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</si>
  <si>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</si>
  <si>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</si>
  <si>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</si>
  <si>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</si>
  <si>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</si>
  <si>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</si>
  <si>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</si>
  <si>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</si>
  <si>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</si>
  <si>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</si>
  <si>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</si>
  <si>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</si>
  <si>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</si>
  <si>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</si>
  <si>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</si>
  <si>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</si>
  <si>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</si>
  <si>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</si>
  <si>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</si>
  <si>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</si>
  <si>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</si>
  <si>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</si>
  <si>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</si>
  <si>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</si>
  <si>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</si>
  <si>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</si>
  <si>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</si>
  <si>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</si>
  <si>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</si>
  <si>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</si>
  <si>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</si>
  <si>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</si>
  <si>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</si>
  <si>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</si>
  <si>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</si>
  <si>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</si>
  <si>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</si>
  <si>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</si>
  <si>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</si>
  <si>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</si>
  <si>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</si>
  <si>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</si>
  <si>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</si>
  <si>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</si>
  <si>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</si>
  <si>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</si>
  <si>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</si>
  <si>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</si>
  <si>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</si>
  <si>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</si>
  <si>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</si>
  <si>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</si>
  <si>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</si>
  <si>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</si>
  <si>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</si>
  <si>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</si>
  <si>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</si>
  <si>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</si>
  <si>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</si>
  <si>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</si>
  <si>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</si>
  <si>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</si>
  <si>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</si>
  <si>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</si>
  <si>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</si>
  <si>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</si>
  <si>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</si>
  <si>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</si>
  <si>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</si>
  <si>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</si>
  <si>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</si>
  <si>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</si>
  <si>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</si>
  <si>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</si>
  <si>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</si>
  <si>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</si>
  <si>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</si>
  <si>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</si>
  <si>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</si>
  <si>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</si>
  <si>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</si>
  <si>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</si>
  <si>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</si>
  <si>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</si>
  <si>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</si>
  <si>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</si>
  <si>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</si>
  <si>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</si>
  <si>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</si>
  <si>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</si>
  <si>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</si>
  <si>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</si>
  <si>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</si>
  <si>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</si>
  <si>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</si>
  <si>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</si>
  <si>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</si>
  <si>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</si>
  <si>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</si>
  <si>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</si>
  <si>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</si>
  <si>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</si>
  <si>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</si>
  <si>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</si>
  <si>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</si>
  <si>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</si>
  <si>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</si>
  <si>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</si>
  <si>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</si>
  <si>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</si>
  <si>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</si>
  <si>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</si>
  <si>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</si>
  <si>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</si>
  <si>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</si>
  <si>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</si>
  <si>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</si>
  <si>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</si>
  <si>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</si>
  <si>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</si>
  <si>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</si>
  <si>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</si>
  <si>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</si>
  <si>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</si>
  <si>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</si>
  <si>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</si>
  <si>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</si>
  <si>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</si>
  <si>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</si>
  <si>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</si>
  <si>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</si>
  <si>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</si>
  <si>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</si>
  <si>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</si>
  <si>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</si>
  <si>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</si>
  <si>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</si>
  <si>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</si>
  <si>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</si>
  <si>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</si>
  <si>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</si>
  <si>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</si>
  <si>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</si>
  <si>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</si>
  <si>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</si>
  <si>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</si>
  <si>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</si>
  <si>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</si>
  <si>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</si>
  <si>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</si>
  <si>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</si>
  <si>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</si>
  <si>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</si>
  <si>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</si>
  <si>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</si>
  <si>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</si>
  <si>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</si>
  <si>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</si>
  <si>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</si>
  <si>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</si>
  <si>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</si>
  <si>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</si>
  <si>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</si>
  <si>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</si>
  <si>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</si>
  <si>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</si>
  <si>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</si>
  <si>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</si>
  <si>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</si>
  <si>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</si>
  <si>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</si>
  <si>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</si>
  <si>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</si>
  <si>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</si>
  <si>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</si>
  <si>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</si>
  <si>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</si>
  <si>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</si>
  <si>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</si>
  <si>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</si>
  <si>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</si>
  <si>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</si>
  <si>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</si>
  <si>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</si>
  <si>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</si>
  <si>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</si>
  <si>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</si>
  <si>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</si>
  <si>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</si>
  <si>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</si>
  <si>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</si>
  <si>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</si>
  <si>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</si>
  <si>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</si>
  <si>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</si>
  <si>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</si>
  <si>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</si>
  <si>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</si>
  <si>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</si>
  <si>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</si>
  <si>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</si>
  <si>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</si>
  <si>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</si>
  <si>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</si>
  <si>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</si>
  <si>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</si>
  <si>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</si>
  <si>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</si>
  <si>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</si>
  <si>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</si>
  <si>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</si>
  <si>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</si>
  <si>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</si>
  <si>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</si>
  <si>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</si>
  <si>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</si>
  <si>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</si>
  <si>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</si>
  <si>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</si>
  <si>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</si>
  <si>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</si>
  <si>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</si>
  <si>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</si>
  <si>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</si>
  <si>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</si>
  <si>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</si>
  <si>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</si>
  <si>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</si>
  <si>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</si>
  <si>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</si>
  <si>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</si>
  <si>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</si>
  <si>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</si>
  <si>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</si>
  <si>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</si>
  <si>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</si>
  <si>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</si>
  <si>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</si>
  <si>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</si>
  <si>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</si>
  <si>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</si>
  <si>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</si>
  <si>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</si>
  <si>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</si>
  <si>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</si>
  <si>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</si>
  <si>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</si>
  <si>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</si>
  <si>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</si>
  <si>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</si>
  <si>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</si>
  <si>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</si>
  <si>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</si>
  <si>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</si>
  <si>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</si>
  <si>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</si>
  <si>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</si>
  <si>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</si>
  <si>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</si>
  <si>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</si>
  <si>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</si>
  <si>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</si>
  <si>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</si>
  <si>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</si>
  <si>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</si>
  <si>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</si>
  <si>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</si>
  <si>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</si>
  <si>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</si>
  <si>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</si>
  <si>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</si>
  <si>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</si>
  <si>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</si>
  <si>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</si>
  <si>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</si>
  <si>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</si>
  <si>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</si>
  <si>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</si>
  <si>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</si>
  <si>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</si>
  <si>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</si>
  <si>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</si>
  <si>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</si>
  <si>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</si>
  <si>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</si>
  <si>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</si>
  <si>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</si>
  <si>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</si>
  <si>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</si>
  <si>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</si>
  <si>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</si>
  <si>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</si>
  <si>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</si>
  <si>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</si>
  <si>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</si>
  <si>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</si>
  <si>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</si>
  <si>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</si>
  <si>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</si>
  <si>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</si>
  <si>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</si>
  <si>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</si>
  <si>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</si>
  <si>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</si>
  <si>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</si>
  <si>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</si>
  <si>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</si>
  <si>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</si>
  <si>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</si>
  <si>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</si>
  <si>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</si>
  <si>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</si>
  <si>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</si>
  <si>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</si>
  <si>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</si>
  <si>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</si>
  <si>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</si>
  <si>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</si>
  <si>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</si>
  <si>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</si>
  <si>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</si>
  <si>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</si>
  <si>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</si>
  <si>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</si>
  <si>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</si>
  <si>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</si>
  <si>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</si>
  <si>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</si>
  <si>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</si>
  <si>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</si>
  <si>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</si>
  <si>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</si>
  <si>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</si>
  <si>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</si>
  <si>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</si>
  <si>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</si>
  <si>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</si>
  <si>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</si>
  <si>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</si>
  <si>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</si>
  <si>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Diodes Incorporated</t>
  </si>
  <si>
    <t>049350432</t>
  </si>
  <si>
    <t>DUNS</t>
  </si>
  <si>
    <t>4949 Hedgcoxe Road,#200, Plano TX  75024, UNITED STATES</t>
  </si>
  <si>
    <t>David Fitton</t>
  </si>
  <si>
    <t>compliance@diodes.com</t>
  </si>
  <si>
    <t>+44 161 622 4533</t>
  </si>
  <si>
    <t>Compliance Coordinator</t>
  </si>
  <si>
    <t>At the date of issue, all of smelters used are certified as conflict-free by RMI.</t>
  </si>
  <si>
    <t>https://www.diodes.com/assets/Uploads/DiodesIncorporatedStatementOnConflictMinerals.pdf</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</si>
</sst>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0.0"/>
    <numFmt numFmtId="169" formatCode="_-&quot;$&quot;* #,##0_-;\-&quot;$&quot;* #,##0_-;_-&quot;$&quot;* &quot;-&quot;_-;_-@_-"/>
    <numFmt numFmtId="170" formatCode="_-&quot;$&quot;* #,##0.00_-;\-&quot;$&quot;* #,##0.00_-;_-&quot;$&quot;*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6">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
      <u/>
      <sz val="10"/>
      <color indexed="12"/>
      <name val="Cambria"/>
      <family val="1"/>
      <scheme val="major"/>
    </font>
    <font>
      <sz val="10"/>
      <name val="Cambria"/>
      <family val="1"/>
      <scheme val="major"/>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4"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9"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6" fontId="80" fillId="0" borderId="0" applyNumberFormat="0" applyFill="0" applyBorder="0" applyAlignment="0" applyProtection="0"/>
    <xf numFmtId="0" fontId="81" fillId="0" borderId="0" applyNumberFormat="0" applyFill="0" applyBorder="0" applyAlignment="0" applyProtection="0"/>
    <xf numFmtId="166" fontId="80" fillId="0" borderId="0" applyNumberFormat="0" applyFill="0" applyBorder="0" applyAlignment="0" applyProtection="0">
      <alignment vertical="top"/>
      <protection locked="0"/>
    </xf>
    <xf numFmtId="166"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6"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6" fontId="86" fillId="0" borderId="0"/>
    <xf numFmtId="0" fontId="6" fillId="0" borderId="0"/>
    <xf numFmtId="0" fontId="6" fillId="0" borderId="0"/>
    <xf numFmtId="166"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6" fontId="86" fillId="0" borderId="0"/>
    <xf numFmtId="0" fontId="5" fillId="0" borderId="0"/>
    <xf numFmtId="166" fontId="6" fillId="0" borderId="0"/>
    <xf numFmtId="0" fontId="69" fillId="0" borderId="0"/>
    <xf numFmtId="0" fontId="69" fillId="0" borderId="0"/>
    <xf numFmtId="166" fontId="5" fillId="0" borderId="0"/>
    <xf numFmtId="0" fontId="69" fillId="0" borderId="0"/>
    <xf numFmtId="0" fontId="5" fillId="0" borderId="0"/>
    <xf numFmtId="0" fontId="69" fillId="0" borderId="0"/>
    <xf numFmtId="0" fontId="87" fillId="0" borderId="0">
      <alignment vertical="center"/>
    </xf>
    <xf numFmtId="166"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6" fontId="86" fillId="0" borderId="0"/>
    <xf numFmtId="166"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6" fontId="10" fillId="0" borderId="0"/>
    <xf numFmtId="0" fontId="6" fillId="0" borderId="0"/>
    <xf numFmtId="0" fontId="6" fillId="0" borderId="0"/>
    <xf numFmtId="0" fontId="6" fillId="0" borderId="0"/>
    <xf numFmtId="166" fontId="6" fillId="0" borderId="0"/>
  </cellStyleXfs>
  <cellXfs count="447">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6"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7"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8"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6"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6" fontId="0" fillId="2" borderId="4" xfId="0" applyNumberFormat="1" applyFont="1" applyFill="1" applyBorder="1" applyAlignment="1">
      <alignment vertical="top" wrapText="1"/>
    </xf>
    <xf numFmtId="166" fontId="0" fillId="2" borderId="0" xfId="0" applyNumberFormat="1" applyFont="1" applyFill="1" applyBorder="1" applyAlignment="1"/>
    <xf numFmtId="166" fontId="9" fillId="2" borderId="0" xfId="0" applyNumberFormat="1" applyFont="1" applyFill="1" applyBorder="1"/>
    <xf numFmtId="166" fontId="14" fillId="2" borderId="0" xfId="0" applyNumberFormat="1" applyFont="1" applyFill="1" applyBorder="1" applyAlignment="1">
      <alignment horizontal="center" vertical="center" wrapText="1"/>
    </xf>
    <xf numFmtId="166" fontId="11" fillId="2" borderId="0" xfId="0" applyNumberFormat="1" applyFont="1" applyFill="1" applyBorder="1" applyAlignment="1">
      <alignment horizontal="center" vertical="center"/>
    </xf>
    <xf numFmtId="166" fontId="0" fillId="2" borderId="0" xfId="0" applyNumberFormat="1" applyFont="1" applyFill="1" applyBorder="1"/>
    <xf numFmtId="166" fontId="27" fillId="2" borderId="11" xfId="570" applyNumberFormat="1" applyFont="1" applyFill="1" applyBorder="1" applyAlignment="1">
      <alignment horizontal="center" vertical="center" wrapText="1"/>
    </xf>
    <xf numFmtId="166" fontId="0" fillId="0" borderId="0" xfId="0" applyNumberFormat="1" applyFont="1" applyFill="1" applyBorder="1"/>
    <xf numFmtId="166"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68"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6"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7" fillId="0" borderId="0" xfId="0" applyFont="1" applyAlignment="1">
      <alignment vertical="center" wrapText="1"/>
    </xf>
    <xf numFmtId="166" fontId="96" fillId="0" borderId="0" xfId="480" applyFont="1" applyFill="1" applyAlignment="1">
      <alignment horizontal="left" vertical="center" wrapText="1"/>
    </xf>
    <xf numFmtId="0" fontId="0" fillId="0" borderId="0" xfId="0" applyFill="1" applyAlignment="1">
      <alignment vertical="center"/>
    </xf>
    <xf numFmtId="0" fontId="108"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09" fillId="0" borderId="0" xfId="0" applyFont="1" applyAlignment="1">
      <alignment vertical="center" wrapText="1"/>
    </xf>
    <xf numFmtId="166" fontId="97" fillId="0" borderId="0" xfId="480" applyFont="1" applyFill="1" applyAlignment="1">
      <alignment vertical="center" wrapText="1"/>
    </xf>
    <xf numFmtId="0" fontId="96" fillId="0" borderId="0" xfId="0" applyFont="1" applyFill="1" applyAlignment="1">
      <alignment vertical="center" wrapText="1"/>
    </xf>
    <xf numFmtId="0" fontId="110"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1"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2"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6" fontId="96" fillId="0" borderId="0" xfId="480" applyFont="1" applyFill="1" applyAlignment="1">
      <alignment vertical="center" wrapText="1"/>
    </xf>
    <xf numFmtId="0" fontId="55" fillId="0" borderId="0" xfId="0" applyFont="1" applyFill="1" applyAlignment="1">
      <alignment horizontal="left" vertical="center" wrapText="1"/>
    </xf>
    <xf numFmtId="0" fontId="114"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6"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0" fillId="0" borderId="0" xfId="0" applyNumberFormat="1" applyFont="1" applyAlignment="1">
      <alignment horizontal="left" vertical="center" wrapText="1"/>
    </xf>
    <xf numFmtId="9" fontId="118"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1"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8"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19"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8" fillId="0" borderId="0" xfId="502" applyFont="1" applyFill="1" applyAlignment="1">
      <alignment horizontal="left" vertical="center" wrapText="1"/>
    </xf>
    <xf numFmtId="166"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6" fontId="96" fillId="0" borderId="0" xfId="480" applyFont="1" applyFill="1" applyBorder="1" applyAlignment="1">
      <alignment vertical="center" wrapText="1"/>
    </xf>
    <xf numFmtId="0" fontId="104"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6"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2" fillId="0" borderId="0" xfId="527" applyFont="1" applyFill="1" applyAlignment="1">
      <alignment horizontal="left" vertical="center" wrapText="1"/>
    </xf>
    <xf numFmtId="166" fontId="6" fillId="0" borderId="0" xfId="480" applyAlignment="1">
      <alignment vertical="center"/>
    </xf>
    <xf numFmtId="0" fontId="123" fillId="0" borderId="0" xfId="0" applyFont="1" applyAlignment="1">
      <alignment vertical="center" wrapText="1"/>
    </xf>
    <xf numFmtId="0" fontId="55" fillId="0" borderId="0" xfId="0" applyFont="1" applyAlignment="1">
      <alignment vertical="center"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6" fontId="25" fillId="2" borderId="42" xfId="570" applyNumberFormat="1" applyFont="1" applyFill="1" applyBorder="1" applyAlignment="1">
      <alignment horizontal="center" vertical="top" wrapText="1"/>
    </xf>
    <xf numFmtId="166" fontId="25" fillId="2" borderId="43" xfId="570" applyNumberFormat="1" applyFont="1" applyFill="1" applyBorder="1" applyAlignment="1">
      <alignment horizontal="center" vertical="top" wrapText="1"/>
    </xf>
    <xf numFmtId="166"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6" fontId="25" fillId="0" borderId="42" xfId="570" applyNumberFormat="1" applyFont="1" applyFill="1" applyBorder="1" applyAlignment="1">
      <alignment horizontal="center" vertical="top" wrapText="1"/>
    </xf>
    <xf numFmtId="166" fontId="25" fillId="0" borderId="43" xfId="570" applyNumberFormat="1" applyFont="1" applyFill="1" applyBorder="1" applyAlignment="1">
      <alignment horizontal="center" vertical="top" wrapText="1"/>
    </xf>
    <xf numFmtId="166"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0" fillId="0" borderId="25" xfId="487" applyFont="1" applyFill="1" applyBorder="1" applyAlignment="1" applyProtection="1">
      <alignment horizontal="left" vertical="center" wrapText="1"/>
    </xf>
    <xf numFmtId="0" fontId="100" fillId="0" borderId="18" xfId="487" applyFont="1" applyFill="1" applyBorder="1" applyAlignment="1" applyProtection="1">
      <alignment horizontal="left" vertical="center" wrapText="1"/>
    </xf>
    <xf numFmtId="0" fontId="100" fillId="0" borderId="53" xfId="487" applyFont="1" applyFill="1" applyBorder="1" applyAlignment="1" applyProtection="1">
      <alignment horizontal="left" vertical="center" wrapText="1"/>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0" fontId="17" fillId="2" borderId="0" xfId="0" applyFont="1" applyFill="1" applyBorder="1" applyAlignment="1" applyProtection="1">
      <alignment horizontal="center" wrapText="1"/>
    </xf>
    <xf numFmtId="0" fontId="124" fillId="2" borderId="52" xfId="487" applyFont="1" applyFill="1" applyBorder="1" applyAlignment="1" applyProtection="1">
      <alignment horizontal="left" vertical="center" wrapText="1"/>
      <protection locked="0"/>
    </xf>
    <xf numFmtId="0" fontId="125" fillId="2" borderId="1" xfId="0" applyFont="1" applyFill="1" applyBorder="1" applyAlignment="1" applyProtection="1">
      <alignment horizontal="left" vertical="center" wrapText="1"/>
      <protection locked="0"/>
    </xf>
    <xf numFmtId="0" fontId="125"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1" fillId="2" borderId="52" xfId="487" applyNumberFormat="1" applyFont="1" applyFill="1" applyBorder="1" applyAlignment="1" applyProtection="1">
      <alignment horizontal="left" vertical="center" wrapText="1"/>
      <protection locked="0"/>
    </xf>
    <xf numFmtId="49" fontId="101" fillId="2" borderId="1" xfId="487" applyNumberFormat="1" applyFont="1" applyFill="1" applyBorder="1" applyAlignment="1" applyProtection="1">
      <alignment horizontal="left" vertical="center" wrapText="1"/>
      <protection locked="0"/>
    </xf>
    <xf numFmtId="49" fontId="101"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2" fillId="2" borderId="52" xfId="487" applyNumberFormat="1" applyFont="1" applyFill="1" applyBorder="1" applyAlignment="1" applyProtection="1">
      <alignment horizontal="left" vertical="center" wrapText="1"/>
      <protection locked="0"/>
    </xf>
    <xf numFmtId="49" fontId="103" fillId="2" borderId="1" xfId="0" applyNumberFormat="1" applyFont="1" applyFill="1" applyBorder="1" applyAlignment="1" applyProtection="1">
      <alignment horizontal="left" vertical="center" wrapText="1"/>
      <protection locked="0"/>
    </xf>
    <xf numFmtId="49" fontId="103" fillId="2" borderId="28" xfId="0" applyNumberFormat="1" applyFont="1" applyFill="1" applyBorder="1" applyAlignment="1" applyProtection="1">
      <alignment horizontal="left" vertical="center" wrapText="1"/>
      <protection locked="0"/>
    </xf>
    <xf numFmtId="167" fontId="14" fillId="2" borderId="25" xfId="0" applyNumberFormat="1" applyFont="1" applyFill="1" applyBorder="1" applyAlignment="1" applyProtection="1">
      <alignment horizontal="center" wrapText="1"/>
      <protection locked="0"/>
    </xf>
    <xf numFmtId="167"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68">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50"/>
      <c r="B2" s="38" t="s">
        <v>963</v>
      </c>
      <c r="C2" s="36"/>
      <c r="D2" s="207"/>
      <c r="E2" s="3"/>
      <c r="F2" s="36"/>
      <c r="G2" s="34"/>
    </row>
    <row r="3" spans="1:7">
      <c r="A3" s="350"/>
      <c r="B3" s="5" t="s">
        <v>952</v>
      </c>
      <c r="C3" s="6"/>
      <c r="D3" s="208"/>
      <c r="E3" s="3"/>
      <c r="F3" s="6"/>
      <c r="G3" s="34"/>
    </row>
    <row r="4" spans="1:7" ht="15.75">
      <c r="A4" s="350"/>
      <c r="B4" s="41" t="s">
        <v>965</v>
      </c>
      <c r="C4" s="7"/>
      <c r="D4" s="209"/>
      <c r="E4" s="3"/>
      <c r="F4" s="7"/>
      <c r="G4" s="34"/>
    </row>
    <row r="5" spans="1:7">
      <c r="A5" s="350"/>
      <c r="B5" s="40" t="s">
        <v>1157</v>
      </c>
      <c r="C5" s="4"/>
      <c r="D5" s="210"/>
      <c r="E5" s="3"/>
      <c r="F5" s="4"/>
      <c r="G5" s="34"/>
    </row>
    <row r="6" spans="1:7">
      <c r="A6" s="350"/>
      <c r="B6" s="8"/>
      <c r="C6" s="8"/>
      <c r="D6" s="211"/>
      <c r="E6" s="8"/>
      <c r="F6" s="8"/>
      <c r="G6" s="34"/>
    </row>
    <row r="7" spans="1:7">
      <c r="A7" s="350"/>
      <c r="B7" s="8"/>
      <c r="C7" s="8"/>
      <c r="D7" s="211"/>
      <c r="E7" s="8"/>
      <c r="F7" s="8"/>
      <c r="G7" s="34"/>
    </row>
    <row r="8" spans="1:7">
      <c r="A8" s="350"/>
      <c r="B8" s="8"/>
      <c r="C8" s="8"/>
      <c r="D8" s="211"/>
      <c r="E8" s="8"/>
      <c r="F8" s="8"/>
      <c r="G8" s="34"/>
    </row>
    <row r="9" spans="1:7">
      <c r="A9" s="350"/>
      <c r="B9" s="353" t="s">
        <v>966</v>
      </c>
      <c r="C9" s="353"/>
      <c r="D9" s="353"/>
      <c r="E9" s="353"/>
      <c r="F9" s="353"/>
      <c r="G9" s="34"/>
    </row>
    <row r="10" spans="1:7" ht="27" customHeight="1">
      <c r="A10" s="350"/>
      <c r="B10" s="354" t="s">
        <v>506</v>
      </c>
      <c r="C10" s="354"/>
      <c r="D10" s="354"/>
      <c r="E10" s="354"/>
      <c r="F10" s="354"/>
      <c r="G10" s="34"/>
    </row>
    <row r="11" spans="1:7" ht="27" customHeight="1">
      <c r="A11" s="350"/>
      <c r="B11" s="355"/>
      <c r="C11" s="355"/>
      <c r="D11" s="355"/>
      <c r="E11" s="355"/>
      <c r="F11" s="355"/>
      <c r="G11" s="34"/>
    </row>
    <row r="12" spans="1:7" ht="16.5">
      <c r="A12" s="350"/>
      <c r="B12" s="42" t="s">
        <v>964</v>
      </c>
      <c r="C12" s="43" t="s">
        <v>967</v>
      </c>
      <c r="D12" s="212" t="s">
        <v>968</v>
      </c>
      <c r="E12" s="43" t="s">
        <v>701</v>
      </c>
      <c r="F12" s="43" t="s">
        <v>702</v>
      </c>
      <c r="G12" s="34"/>
    </row>
    <row r="13" spans="1:7" ht="33.75">
      <c r="A13" s="350"/>
      <c r="B13" s="2">
        <v>1</v>
      </c>
      <c r="C13" s="37" t="s">
        <v>1208</v>
      </c>
      <c r="D13" s="39" t="s">
        <v>992</v>
      </c>
      <c r="E13" s="196" t="s">
        <v>969</v>
      </c>
      <c r="F13" s="196"/>
      <c r="G13" s="34"/>
    </row>
    <row r="14" spans="1:7" ht="33.75">
      <c r="A14" s="350"/>
      <c r="B14" s="2">
        <v>2</v>
      </c>
      <c r="C14" s="37" t="s">
        <v>1208</v>
      </c>
      <c r="D14" s="39" t="s">
        <v>1142</v>
      </c>
      <c r="E14" s="196" t="s">
        <v>602</v>
      </c>
      <c r="F14" s="196" t="s">
        <v>603</v>
      </c>
      <c r="G14" s="34"/>
    </row>
    <row r="15" spans="1:7" ht="89.1" customHeight="1">
      <c r="A15" s="350"/>
      <c r="B15" s="356">
        <v>2.0099999999999998</v>
      </c>
      <c r="C15" s="347" t="s">
        <v>1208</v>
      </c>
      <c r="D15" s="359" t="s">
        <v>2686</v>
      </c>
      <c r="E15" s="197" t="s">
        <v>703</v>
      </c>
      <c r="F15" s="197" t="s">
        <v>706</v>
      </c>
      <c r="G15" s="34"/>
    </row>
    <row r="16" spans="1:7" ht="99" customHeight="1">
      <c r="A16" s="350"/>
      <c r="B16" s="357"/>
      <c r="C16" s="348"/>
      <c r="D16" s="360"/>
      <c r="E16" s="198"/>
      <c r="F16" s="198" t="s">
        <v>704</v>
      </c>
      <c r="G16" s="34"/>
    </row>
    <row r="17" spans="1:7" ht="63" customHeight="1">
      <c r="A17" s="350"/>
      <c r="B17" s="358"/>
      <c r="C17" s="349"/>
      <c r="D17" s="361"/>
      <c r="E17" s="37"/>
      <c r="F17" s="37" t="s">
        <v>705</v>
      </c>
      <c r="G17" s="34"/>
    </row>
    <row r="18" spans="1:7" ht="117" customHeight="1">
      <c r="A18" s="350"/>
      <c r="B18" s="356">
        <v>2.02</v>
      </c>
      <c r="C18" s="347" t="s">
        <v>1208</v>
      </c>
      <c r="D18" s="359" t="s">
        <v>2687</v>
      </c>
      <c r="E18" s="197" t="s">
        <v>507</v>
      </c>
      <c r="F18" s="197" t="s">
        <v>596</v>
      </c>
      <c r="G18" s="34"/>
    </row>
    <row r="19" spans="1:7" ht="71.099999999999994" customHeight="1">
      <c r="A19" s="350"/>
      <c r="B19" s="357"/>
      <c r="C19" s="348"/>
      <c r="D19" s="360"/>
      <c r="E19" s="198" t="s">
        <v>601</v>
      </c>
      <c r="F19" s="198" t="s">
        <v>508</v>
      </c>
      <c r="G19" s="34"/>
    </row>
    <row r="20" spans="1:7" ht="90.75" customHeight="1">
      <c r="A20" s="350"/>
      <c r="B20" s="357"/>
      <c r="C20" s="348"/>
      <c r="D20" s="360"/>
      <c r="E20" s="198"/>
      <c r="F20" s="198" t="s">
        <v>708</v>
      </c>
      <c r="G20" s="34"/>
    </row>
    <row r="21" spans="1:7" ht="74.25" customHeight="1">
      <c r="A21" s="350"/>
      <c r="B21" s="358"/>
      <c r="C21" s="349"/>
      <c r="D21" s="361"/>
      <c r="E21" s="37"/>
      <c r="F21" s="37" t="s">
        <v>707</v>
      </c>
      <c r="G21" s="34"/>
    </row>
    <row r="22" spans="1:7" ht="90" customHeight="1">
      <c r="A22" s="350"/>
      <c r="B22" s="365">
        <v>2.0299999999999998</v>
      </c>
      <c r="C22" s="365" t="s">
        <v>935</v>
      </c>
      <c r="D22" s="368" t="s">
        <v>2688</v>
      </c>
      <c r="E22" s="347" t="s">
        <v>505</v>
      </c>
      <c r="F22" s="197" t="s">
        <v>529</v>
      </c>
      <c r="G22" s="34"/>
    </row>
    <row r="23" spans="1:7" ht="109.5" customHeight="1">
      <c r="A23" s="350"/>
      <c r="B23" s="366"/>
      <c r="C23" s="366"/>
      <c r="D23" s="369"/>
      <c r="E23" s="348"/>
      <c r="F23" s="198" t="s">
        <v>936</v>
      </c>
      <c r="G23" s="34"/>
    </row>
    <row r="24" spans="1:7" ht="74.25" customHeight="1">
      <c r="A24" s="350"/>
      <c r="B24" s="367"/>
      <c r="C24" s="367"/>
      <c r="D24" s="370"/>
      <c r="E24" s="349"/>
      <c r="F24" s="37" t="s">
        <v>504</v>
      </c>
      <c r="G24" s="34"/>
    </row>
    <row r="25" spans="1:7" ht="72" customHeight="1">
      <c r="A25" s="350"/>
      <c r="B25" s="2" t="s">
        <v>527</v>
      </c>
      <c r="C25" s="37" t="s">
        <v>528</v>
      </c>
      <c r="D25" s="39" t="s">
        <v>2689</v>
      </c>
      <c r="E25" s="37" t="s">
        <v>2682</v>
      </c>
      <c r="F25" s="37" t="s">
        <v>530</v>
      </c>
      <c r="G25" s="34"/>
    </row>
    <row r="26" spans="1:7" ht="98.1" customHeight="1">
      <c r="A26" s="350"/>
      <c r="B26" s="362">
        <v>3</v>
      </c>
      <c r="C26" s="356" t="s">
        <v>74</v>
      </c>
      <c r="D26" s="359" t="s">
        <v>2690</v>
      </c>
      <c r="E26" s="347" t="s">
        <v>0</v>
      </c>
      <c r="F26" s="197" t="s">
        <v>68</v>
      </c>
      <c r="G26" s="34"/>
    </row>
    <row r="27" spans="1:7" ht="90" customHeight="1">
      <c r="A27" s="350"/>
      <c r="B27" s="363"/>
      <c r="C27" s="357"/>
      <c r="D27" s="360"/>
      <c r="E27" s="348"/>
      <c r="F27" s="198" t="s">
        <v>63</v>
      </c>
      <c r="G27" s="34"/>
    </row>
    <row r="28" spans="1:7" ht="19.350000000000001" customHeight="1">
      <c r="A28" s="350"/>
      <c r="B28" s="363"/>
      <c r="C28" s="357"/>
      <c r="D28" s="360"/>
      <c r="E28" s="348"/>
      <c r="F28" s="198" t="s">
        <v>64</v>
      </c>
      <c r="G28" s="34"/>
    </row>
    <row r="29" spans="1:7" ht="74.650000000000006" customHeight="1">
      <c r="A29" s="350"/>
      <c r="B29" s="363"/>
      <c r="C29" s="357"/>
      <c r="D29" s="360"/>
      <c r="E29" s="348"/>
      <c r="F29" s="198" t="s">
        <v>65</v>
      </c>
      <c r="G29" s="34"/>
    </row>
    <row r="30" spans="1:7" ht="62.65" customHeight="1">
      <c r="A30" s="350"/>
      <c r="B30" s="363"/>
      <c r="C30" s="357"/>
      <c r="D30" s="360"/>
      <c r="E30" s="348"/>
      <c r="F30" s="198" t="s">
        <v>66</v>
      </c>
      <c r="G30" s="34"/>
    </row>
    <row r="31" spans="1:7" ht="81" customHeight="1">
      <c r="A31" s="350"/>
      <c r="B31" s="363"/>
      <c r="C31" s="357"/>
      <c r="D31" s="360"/>
      <c r="E31" s="348"/>
      <c r="F31" s="198" t="s">
        <v>67</v>
      </c>
      <c r="G31" s="34"/>
    </row>
    <row r="32" spans="1:7" ht="48.75" customHeight="1">
      <c r="A32" s="350"/>
      <c r="B32" s="363"/>
      <c r="C32" s="357"/>
      <c r="D32" s="360"/>
      <c r="E32" s="348"/>
      <c r="F32" s="198" t="s">
        <v>70</v>
      </c>
      <c r="G32" s="34"/>
    </row>
    <row r="33" spans="1:7" ht="98.65" customHeight="1">
      <c r="A33" s="350"/>
      <c r="B33" s="363"/>
      <c r="C33" s="357"/>
      <c r="D33" s="360"/>
      <c r="E33" s="348"/>
      <c r="F33" s="198" t="s">
        <v>69</v>
      </c>
      <c r="G33" s="34"/>
    </row>
    <row r="34" spans="1:7" ht="89.1" customHeight="1">
      <c r="A34" s="350"/>
      <c r="B34" s="363"/>
      <c r="C34" s="357"/>
      <c r="D34" s="360"/>
      <c r="E34" s="348"/>
      <c r="F34" s="198" t="s">
        <v>71</v>
      </c>
      <c r="G34" s="34"/>
    </row>
    <row r="35" spans="1:7" ht="29.1" customHeight="1">
      <c r="A35" s="350"/>
      <c r="B35" s="363"/>
      <c r="C35" s="357"/>
      <c r="D35" s="360"/>
      <c r="E35" s="348"/>
      <c r="F35" s="198" t="s">
        <v>72</v>
      </c>
      <c r="G35" s="34"/>
    </row>
    <row r="36" spans="1:7" ht="126.75">
      <c r="A36" s="350"/>
      <c r="B36" s="364"/>
      <c r="C36" s="358"/>
      <c r="D36" s="361"/>
      <c r="E36" s="349"/>
      <c r="F36" s="199" t="s">
        <v>73</v>
      </c>
      <c r="G36" s="34"/>
    </row>
    <row r="37" spans="1:7" ht="123.75">
      <c r="A37" s="350"/>
      <c r="B37" s="175">
        <v>3.01</v>
      </c>
      <c r="C37" s="176" t="s">
        <v>74</v>
      </c>
      <c r="D37" s="39" t="s">
        <v>2691</v>
      </c>
      <c r="E37" s="200" t="s">
        <v>1458</v>
      </c>
      <c r="F37" s="201" t="s">
        <v>1577</v>
      </c>
      <c r="G37" s="34"/>
    </row>
    <row r="38" spans="1:7" ht="112.5">
      <c r="A38" s="350"/>
      <c r="B38" s="175">
        <v>3.02</v>
      </c>
      <c r="C38" s="176" t="s">
        <v>1492</v>
      </c>
      <c r="D38" s="39" t="s">
        <v>2692</v>
      </c>
      <c r="E38" s="200" t="s">
        <v>1507</v>
      </c>
      <c r="F38" s="201" t="s">
        <v>1578</v>
      </c>
      <c r="G38" s="34"/>
    </row>
    <row r="39" spans="1:7" ht="101.25">
      <c r="A39" s="350"/>
      <c r="B39" s="184">
        <v>4</v>
      </c>
      <c r="C39" s="183" t="s">
        <v>1757</v>
      </c>
      <c r="D39" s="39" t="s">
        <v>2693</v>
      </c>
      <c r="E39" s="37" t="s">
        <v>2625</v>
      </c>
      <c r="F39" s="37" t="s">
        <v>1758</v>
      </c>
      <c r="G39" s="34"/>
    </row>
    <row r="40" spans="1:7" ht="56.25">
      <c r="A40" s="350"/>
      <c r="B40" s="175">
        <v>4.01</v>
      </c>
      <c r="C40" s="183" t="s">
        <v>1757</v>
      </c>
      <c r="D40" s="39" t="s">
        <v>2695</v>
      </c>
      <c r="E40" s="37" t="s">
        <v>2644</v>
      </c>
      <c r="F40" s="37" t="s">
        <v>2649</v>
      </c>
      <c r="G40" s="34"/>
    </row>
    <row r="41" spans="1:7" ht="56.25">
      <c r="A41" s="350"/>
      <c r="B41" s="175" t="s">
        <v>2680</v>
      </c>
      <c r="C41" s="183" t="s">
        <v>1757</v>
      </c>
      <c r="D41" s="39" t="s">
        <v>2694</v>
      </c>
      <c r="E41" s="37" t="s">
        <v>2683</v>
      </c>
      <c r="F41" s="37" t="s">
        <v>2681</v>
      </c>
      <c r="G41" s="34"/>
    </row>
    <row r="42" spans="1:7" ht="56.25">
      <c r="A42" s="350"/>
      <c r="B42" s="175" t="s">
        <v>2732</v>
      </c>
      <c r="C42" s="183" t="s">
        <v>1757</v>
      </c>
      <c r="D42" s="39" t="s">
        <v>2903</v>
      </c>
      <c r="E42" s="37" t="s">
        <v>2682</v>
      </c>
      <c r="F42" s="37" t="s">
        <v>2733</v>
      </c>
      <c r="G42" s="34"/>
    </row>
    <row r="43" spans="1:7" ht="123.75">
      <c r="A43" s="350"/>
      <c r="B43" s="193">
        <v>4.0999999999999996</v>
      </c>
      <c r="C43" s="183" t="s">
        <v>2902</v>
      </c>
      <c r="D43" s="194">
        <v>42867</v>
      </c>
      <c r="E43" s="202" t="s">
        <v>2905</v>
      </c>
      <c r="F43" s="37" t="s">
        <v>2904</v>
      </c>
      <c r="G43" s="34"/>
    </row>
    <row r="44" spans="1:7" ht="78.75">
      <c r="A44" s="350"/>
      <c r="B44" s="193">
        <v>4.2</v>
      </c>
      <c r="C44" s="183" t="s">
        <v>2902</v>
      </c>
      <c r="D44" s="194">
        <v>42704</v>
      </c>
      <c r="E44" s="202" t="s">
        <v>3155</v>
      </c>
      <c r="F44" s="37" t="s">
        <v>3120</v>
      </c>
      <c r="G44" s="34"/>
    </row>
    <row r="45" spans="1:7" ht="157.5">
      <c r="A45" s="350"/>
      <c r="B45" s="241">
        <v>5</v>
      </c>
      <c r="C45" s="183" t="s">
        <v>2902</v>
      </c>
      <c r="D45" s="194">
        <v>42867</v>
      </c>
      <c r="E45" s="202" t="s">
        <v>13730</v>
      </c>
      <c r="F45" s="37" t="s">
        <v>13315</v>
      </c>
      <c r="G45" s="34"/>
    </row>
    <row r="46" spans="1:7" ht="45">
      <c r="A46" s="350"/>
      <c r="B46" s="193">
        <v>5.01</v>
      </c>
      <c r="C46" s="183" t="s">
        <v>2902</v>
      </c>
      <c r="D46" s="194">
        <v>42907</v>
      </c>
      <c r="E46" s="202" t="s">
        <v>13786</v>
      </c>
      <c r="F46" s="37" t="s">
        <v>13315</v>
      </c>
      <c r="G46" s="34"/>
    </row>
    <row r="47" spans="1:7" ht="67.5">
      <c r="A47" s="350"/>
      <c r="B47" s="193">
        <v>5.0999999999999996</v>
      </c>
      <c r="C47" s="183" t="s">
        <v>2902</v>
      </c>
      <c r="D47" s="194">
        <v>43070</v>
      </c>
      <c r="E47" s="202" t="s">
        <v>13985</v>
      </c>
      <c r="F47" s="37" t="s">
        <v>13986</v>
      </c>
      <c r="G47" s="34"/>
    </row>
    <row r="48" spans="1:7" ht="56.25">
      <c r="A48" s="350"/>
      <c r="B48" s="193">
        <v>5.1100000000000003</v>
      </c>
      <c r="C48" s="183" t="s">
        <v>14260</v>
      </c>
      <c r="D48" s="194">
        <v>43217</v>
      </c>
      <c r="E48" s="202" t="s">
        <v>14404</v>
      </c>
      <c r="F48" s="37" t="s">
        <v>14299</v>
      </c>
      <c r="G48" s="34"/>
    </row>
    <row r="49" spans="1:7" ht="56.25">
      <c r="A49" s="350"/>
      <c r="B49" s="193">
        <v>5.12</v>
      </c>
      <c r="C49" s="183" t="s">
        <v>14260</v>
      </c>
      <c r="D49" s="194">
        <v>43581</v>
      </c>
      <c r="E49" s="202" t="s">
        <v>14404</v>
      </c>
      <c r="F49" s="37" t="s">
        <v>15467</v>
      </c>
      <c r="G49" s="34"/>
    </row>
    <row r="50" spans="1:7" ht="13.5" thickBot="1">
      <c r="A50" s="351"/>
      <c r="B50" s="352" t="str">
        <f ca="1">OFFSET(L!$C$1,MATCH("General"&amp;"Cpy",L!$A:$A,0)-1,SL,,)</f>
        <v>© 2019 Responsible Minerals Initiative. All rights reserved.</v>
      </c>
      <c r="C50" s="352"/>
      <c r="D50" s="352"/>
      <c r="E50" s="352"/>
      <c r="F50" s="352"/>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sortState ref="A2:B250">
      <sortCondition ref="B1"/>
    </sortState>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Normal="10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1"/>
      <c r="B1" s="372"/>
      <c r="C1" s="372"/>
      <c r="D1" s="373"/>
    </row>
    <row r="2" spans="1:5" ht="71.25" customHeight="1">
      <c r="A2" s="90"/>
      <c r="B2" s="171" t="str">
        <f ca="1">OFFSET(L!$C$1,MATCH("Definitions"&amp;ADDRESS(ROW(),COLUMN(),4),L!$A:$A,0)-1,SL,,)</f>
        <v>ITEM</v>
      </c>
      <c r="C2" s="171" t="str">
        <f ca="1">OFFSET(L!$C$1,MATCH("Definitions"&amp;ADDRESS(ROW(),COLUMN(),4),L!$A:$A,0)-1,SL,,)</f>
        <v>DEFINITION</v>
      </c>
      <c r="D2" s="375"/>
      <c r="E2" s="131"/>
    </row>
    <row r="3" spans="1:5" ht="64.150000000000006" customHeight="1">
      <c r="A3" s="90"/>
      <c r="B3" s="77" t="str">
        <f ca="1">OFFSET(L!$C$1,MATCH("Definitions"&amp;ADDRESS(ROW(),COLUMN(),4),L!$A:$A,0)-1,SL,,)</f>
        <v>3TG</v>
      </c>
      <c r="C3" s="77" t="str">
        <f ca="1">OFFSET(L!$C$1,MATCH("Definitions"&amp;ADDRESS(ROW(),COLUMN(),4),L!$A:$A,0)-1,SL,,)</f>
        <v>Tantalum, tin, tungsten, gold</v>
      </c>
      <c r="D3" s="375"/>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5"/>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5"/>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5"/>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5"/>
      <c r="E8" s="132" t="s">
        <v>1443</v>
      </c>
    </row>
    <row r="9" spans="1:5" ht="45">
      <c r="A9" s="90"/>
      <c r="B9" s="77" t="str">
        <f ca="1">OFFSET(L!$C$1,MATCH("Definitions"&amp;ADDRESS(ROW(),COLUMN(),4),L!$A:$A,0)-1,SL,,)</f>
        <v>DRC</v>
      </c>
      <c r="C9" s="77" t="str">
        <f ca="1">OFFSET(L!$C$1,MATCH("Definitions"&amp;ADDRESS(ROW(),COLUMN(),4),L!$A:$A,0)-1,SL,,)</f>
        <v>Democratic Republic of Congo</v>
      </c>
      <c r="D9" s="375"/>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5"/>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5"/>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5"/>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5"/>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5"/>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5"/>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5"/>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5"/>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5"/>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5"/>
      <c r="E19" s="132"/>
    </row>
    <row r="20" spans="1:5" ht="15">
      <c r="A20" s="90"/>
      <c r="B20" s="77" t="str">
        <f ca="1">OFFSET(L!$C$1,MATCH("Definitions"&amp;ADDRESS(ROW(),COLUMN(),4),L!$A:$A,0)-1,SL,,)</f>
        <v>RBA</v>
      </c>
      <c r="C20" s="77" t="str">
        <f ca="1">OFFSET(L!$C$1,MATCH("Definitions"&amp;ADDRESS(ROW(),COLUMN(),4),L!$A:$A,0)-1,SL,,)</f>
        <v>Responsible Business Alliance (www.responsiblebusiness.org)</v>
      </c>
      <c r="D20" s="375"/>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5"/>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5"/>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5"/>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5"/>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5"/>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5"/>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5"/>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5"/>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5"/>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5"/>
      <c r="E30" s="132"/>
    </row>
    <row r="31" spans="1:5" ht="15">
      <c r="A31" s="90"/>
      <c r="B31" s="374" t="str">
        <f ca="1">OFFSET(L!$C$1,MATCH("General"&amp;"Cpy",L!$A:$A,0)-1,SL,,)</f>
        <v>© 2019 Responsible Minerals Initiative. All rights reserved.</v>
      </c>
      <c r="C31" s="374"/>
      <c r="D31" s="375"/>
      <c r="E31" s="132"/>
    </row>
    <row r="32" spans="1:5" ht="13.5" thickBot="1">
      <c r="A32" s="91"/>
      <c r="B32" s="187"/>
      <c r="C32" s="187"/>
      <c r="D32" s="376"/>
    </row>
    <row r="33" ht="13.5" thickTop="1"/>
  </sheetData>
  <sheetProtection password="E31B" sheet="1" objects="1" scenarios="1" formatColumns="0" formatRows="0" insertHyperlink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60" zoomScaleNormal="60" zoomScalePageLayoutView="70" workbookViewId="0">
      <selection activeCell="D22" sqref="D22:E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408"/>
      <c r="B1" s="409"/>
      <c r="C1" s="409"/>
      <c r="D1" s="409"/>
      <c r="E1" s="409"/>
      <c r="F1" s="409"/>
      <c r="G1" s="409"/>
      <c r="H1" s="409"/>
      <c r="I1" s="409"/>
      <c r="J1" s="409"/>
      <c r="K1" s="410"/>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11" t="str">
        <f ca="1">OFFSET(L!$C$1,MATCH("Declaration"&amp;ADDRESS(ROW(),COLUMN(),4),L!$A:$A,0)-1,SL,,)</f>
        <v>Conflict Minerals Reporting Template (CMRT)</v>
      </c>
      <c r="E2" s="412"/>
      <c r="F2" s="412"/>
      <c r="G2" s="412"/>
      <c r="H2" s="412"/>
      <c r="I2" s="412"/>
      <c r="J2" s="413"/>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21"/>
      <c r="G3" s="421"/>
      <c r="H3" s="421"/>
      <c r="I3" s="186"/>
      <c r="J3" s="172" t="s">
        <v>15472</v>
      </c>
      <c r="K3" s="47"/>
      <c r="L3" s="143"/>
      <c r="M3" s="134"/>
      <c r="N3" s="134"/>
      <c r="O3" s="135"/>
      <c r="P3" s="148">
        <f>MATCH($D$3,LN,0)</f>
        <v>1</v>
      </c>
    </row>
    <row r="4" spans="1:34" ht="15.75">
      <c r="A4" s="45"/>
      <c r="B4" s="417" t="str">
        <f ca="1">OFFSET(L!$C$1,MATCH("Declaration"&amp;ADDRESS(ROW(),COLUMN(),4),L!$A:$A,0)-1,SL,,)</f>
        <v>The purpose of this document is to collect sourcing information on tin, tantalum, tungsten and gold used in products</v>
      </c>
      <c r="C4" s="417"/>
      <c r="D4" s="417"/>
      <c r="E4" s="417"/>
      <c r="F4" s="417"/>
      <c r="G4" s="417"/>
      <c r="H4" s="417"/>
      <c r="I4" s="422" t="str">
        <f ca="1">OFFSET(L!$C$1,MATCH("Declaration"&amp;ADDRESS(ROW(),COLUMN(),4),L!$A:$A,0)-1,SL,,)</f>
        <v>Link to Terms &amp; Conditions</v>
      </c>
      <c r="J4" s="422"/>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17" t="str">
        <f ca="1">OFFSET(L!$C$1,MATCH("Declaration"&amp;ADDRESS(ROW(),COLUMN(),4),L!$A:$A,0)-1,SL,,)</f>
        <v>Mandatory fields are noted with an asterisk (*).  Consult the instructions tab for guidance on how to answer each question.</v>
      </c>
      <c r="C6" s="417"/>
      <c r="D6" s="417"/>
      <c r="E6" s="417"/>
      <c r="F6" s="417"/>
      <c r="G6" s="417"/>
      <c r="H6" s="417"/>
      <c r="I6" s="417"/>
      <c r="J6" s="417"/>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26" t="str">
        <f ca="1">OFFSET(L!$C$1,MATCH("Declaration"&amp;ADDRESS(ROW(),COLUMN(),4),L!$A:$A,0)-1,SL,,)</f>
        <v>Company Information</v>
      </c>
      <c r="C7" s="426"/>
      <c r="D7" s="426"/>
      <c r="E7" s="426"/>
      <c r="F7" s="426"/>
      <c r="G7" s="426"/>
      <c r="H7" s="426"/>
      <c r="I7" s="426"/>
      <c r="J7" s="426"/>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414" t="s">
        <v>15493</v>
      </c>
      <c r="E8" s="415"/>
      <c r="F8" s="415"/>
      <c r="G8" s="415"/>
      <c r="H8" s="415"/>
      <c r="I8" s="415"/>
      <c r="J8" s="416"/>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23" t="s">
        <v>564</v>
      </c>
      <c r="E9" s="424"/>
      <c r="F9" s="424"/>
      <c r="G9" s="425"/>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65" customHeight="1">
      <c r="A10" s="49"/>
      <c r="B10" s="427" t="str">
        <f ca="1">OFFSET(L!$C$1,MATCH("Declaration"&amp;ADDRESS(ROW(),COLUMN(),4)&amp;LEFT($D$9,1),L!$A:$A,0)-1,SL,,)</f>
        <v>Description of Scope:</v>
      </c>
      <c r="C10" s="155"/>
      <c r="D10" s="418"/>
      <c r="E10" s="419"/>
      <c r="F10" s="419"/>
      <c r="G10" s="419"/>
      <c r="H10" s="419"/>
      <c r="I10" s="419"/>
      <c r="J10" s="420"/>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28"/>
      <c r="C11" s="155"/>
      <c r="D11" s="394" t="str">
        <f ca="1">IF(D9=Q9,OFFSET(L!$C$1,MATCH("Declaration"&amp;ADDRESS(ROW(),COLUMN(),4),L!$A:$A,0)-1,SL,,),"")</f>
        <v/>
      </c>
      <c r="E11" s="395"/>
      <c r="F11" s="395"/>
      <c r="G11" s="395"/>
      <c r="H11" s="395"/>
      <c r="I11" s="395"/>
      <c r="J11" s="396"/>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401" t="s">
        <v>15494</v>
      </c>
      <c r="E12" s="402"/>
      <c r="F12" s="402"/>
      <c r="G12" s="402"/>
      <c r="H12" s="402"/>
      <c r="I12" s="402"/>
      <c r="J12" s="403"/>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401" t="s">
        <v>15495</v>
      </c>
      <c r="E13" s="402"/>
      <c r="F13" s="402"/>
      <c r="G13" s="402"/>
      <c r="H13" s="402"/>
      <c r="I13" s="402"/>
      <c r="J13" s="403"/>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401" t="s">
        <v>15496</v>
      </c>
      <c r="E14" s="402"/>
      <c r="F14" s="402"/>
      <c r="G14" s="402"/>
      <c r="H14" s="402"/>
      <c r="I14" s="402"/>
      <c r="J14" s="403"/>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401" t="s">
        <v>15497</v>
      </c>
      <c r="E15" s="402"/>
      <c r="F15" s="402"/>
      <c r="G15" s="402"/>
      <c r="H15" s="402"/>
      <c r="I15" s="402"/>
      <c r="J15" s="403"/>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429" t="s">
        <v>15498</v>
      </c>
      <c r="E16" s="430"/>
      <c r="F16" s="430"/>
      <c r="G16" s="430"/>
      <c r="H16" s="430"/>
      <c r="I16" s="430"/>
      <c r="J16" s="431"/>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401" t="s">
        <v>15499</v>
      </c>
      <c r="E17" s="402"/>
      <c r="F17" s="402"/>
      <c r="G17" s="402"/>
      <c r="H17" s="402"/>
      <c r="I17" s="402"/>
      <c r="J17" s="403"/>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401" t="s">
        <v>15497</v>
      </c>
      <c r="E18" s="402"/>
      <c r="F18" s="402"/>
      <c r="G18" s="402"/>
      <c r="H18" s="402"/>
      <c r="I18" s="402"/>
      <c r="J18" s="403"/>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401" t="s">
        <v>15500</v>
      </c>
      <c r="E19" s="402"/>
      <c r="F19" s="402"/>
      <c r="G19" s="402"/>
      <c r="H19" s="402"/>
      <c r="I19" s="402"/>
      <c r="J19" s="403"/>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29" t="s">
        <v>15498</v>
      </c>
      <c r="E20" s="430"/>
      <c r="F20" s="430"/>
      <c r="G20" s="430"/>
      <c r="H20" s="430"/>
      <c r="I20" s="430"/>
      <c r="J20" s="431"/>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401" t="s">
        <v>15499</v>
      </c>
      <c r="E21" s="402"/>
      <c r="F21" s="402"/>
      <c r="G21" s="402"/>
      <c r="H21" s="402"/>
      <c r="I21" s="402"/>
      <c r="J21" s="403"/>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432">
        <v>43635</v>
      </c>
      <c r="E22" s="433"/>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04"/>
      <c r="E23" s="404"/>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434" t="str">
        <f ca="1">OFFSET(L!$C$1,MATCH("Declaration"&amp;ADDRESS(ROW(),COLUMN(),4),L!$A:$A,0)-1,SL,,)</f>
        <v>Answer the following questions 1 - 7 based on the declaration scope indicated above</v>
      </c>
      <c r="C24" s="434"/>
      <c r="D24" s="434"/>
      <c r="E24" s="434"/>
      <c r="F24" s="434"/>
      <c r="G24" s="434"/>
      <c r="H24" s="434"/>
      <c r="I24" s="434"/>
      <c r="J24" s="434"/>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3" t="str">
        <f ca="1">OFFSET(L!$C$1,MATCH("Declaration"&amp;ADDRESS(ROW(),COLUMN(),4),L!$A:$A,0)-1,SL,,)</f>
        <v>Answer</v>
      </c>
      <c r="E25" s="393"/>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82" t="s">
        <v>558</v>
      </c>
      <c r="E26" s="383"/>
      <c r="F26" s="15"/>
      <c r="G26" s="379"/>
      <c r="H26" s="380"/>
      <c r="I26" s="380"/>
      <c r="J26" s="381"/>
      <c r="K26" s="47"/>
      <c r="L26" s="146"/>
      <c r="M26" s="136"/>
      <c r="N26" s="134"/>
      <c r="O26" s="135"/>
      <c r="P26" s="148"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2" t="s">
        <v>558</v>
      </c>
      <c r="E27" s="383"/>
      <c r="F27" s="15"/>
      <c r="G27" s="379"/>
      <c r="H27" s="380"/>
      <c r="I27" s="380"/>
      <c r="J27" s="381"/>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2" t="s">
        <v>558</v>
      </c>
      <c r="E28" s="383"/>
      <c r="F28" s="15"/>
      <c r="G28" s="379"/>
      <c r="H28" s="380"/>
      <c r="I28" s="380"/>
      <c r="J28" s="381"/>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82" t="s">
        <v>558</v>
      </c>
      <c r="E29" s="383"/>
      <c r="F29" s="15"/>
      <c r="G29" s="379"/>
      <c r="H29" s="380"/>
      <c r="I29" s="380"/>
      <c r="J29" s="381"/>
      <c r="K29" s="47"/>
      <c r="L29" s="146"/>
      <c r="M29" s="134"/>
      <c r="N29" s="134"/>
      <c r="O29" s="134"/>
      <c r="P29" s="148"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65" customHeight="1">
      <c r="A31" s="52"/>
      <c r="B31" s="55" t="str">
        <f ca="1">OFFSET(L!$C$1,MATCH("Declaration"&amp;ADDRESS(ROW(),COLUMN(),4),L!$A:$A,0)-1,SL,,)&amp;Q$37</f>
        <v>2) Does any 3TG remain in the product(s)? (*)</v>
      </c>
      <c r="C31" s="13"/>
      <c r="D31" s="397" t="str">
        <f ca="1">D25</f>
        <v>Answer</v>
      </c>
      <c r="E31" s="397"/>
      <c r="F31" s="21"/>
      <c r="G31" s="55" t="str">
        <f ca="1">G25</f>
        <v>Comments</v>
      </c>
      <c r="H31" s="55"/>
      <c r="I31" s="55"/>
      <c r="J31" s="99"/>
      <c r="K31" s="47"/>
      <c r="L31" s="140" t="s">
        <v>1369</v>
      </c>
      <c r="M31" s="134"/>
      <c r="N31" s="134"/>
      <c r="O31" s="135"/>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382" t="s">
        <v>558</v>
      </c>
      <c r="E32" s="383"/>
      <c r="F32" s="58"/>
      <c r="G32" s="379"/>
      <c r="H32" s="380"/>
      <c r="I32" s="380"/>
      <c r="J32" s="381"/>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2" t="s">
        <v>558</v>
      </c>
      <c r="E33" s="383"/>
      <c r="F33" s="58"/>
      <c r="G33" s="379"/>
      <c r="H33" s="380"/>
      <c r="I33" s="380"/>
      <c r="J33" s="381"/>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2" t="s">
        <v>558</v>
      </c>
      <c r="E34" s="383"/>
      <c r="F34" s="58"/>
      <c r="G34" s="379"/>
      <c r="H34" s="380"/>
      <c r="I34" s="380"/>
      <c r="J34" s="381"/>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82" t="s">
        <v>558</v>
      </c>
      <c r="E35" s="383"/>
      <c r="F35" s="58"/>
      <c r="G35" s="379"/>
      <c r="H35" s="380"/>
      <c r="I35" s="380"/>
      <c r="J35" s="381"/>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7" t="str">
        <f ca="1">D25</f>
        <v>Answer</v>
      </c>
      <c r="E37" s="397"/>
      <c r="F37" s="21"/>
      <c r="G37" s="55" t="str">
        <f ca="1">G25</f>
        <v>Comments</v>
      </c>
      <c r="H37" s="400"/>
      <c r="I37" s="400"/>
      <c r="J37" s="400"/>
      <c r="K37" s="47"/>
      <c r="L37" s="140" t="s">
        <v>1369</v>
      </c>
      <c r="M37" s="134"/>
      <c r="N37" s="134"/>
      <c r="O37" s="135"/>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82" t="s">
        <v>558</v>
      </c>
      <c r="E38" s="383"/>
      <c r="F38" s="58"/>
      <c r="G38" s="379" t="s">
        <v>15501</v>
      </c>
      <c r="H38" s="380"/>
      <c r="I38" s="380"/>
      <c r="J38" s="381"/>
      <c r="K38" s="47"/>
      <c r="L38" s="146"/>
      <c r="M38" s="136"/>
      <c r="N38" s="134"/>
      <c r="O38" s="135"/>
      <c r="P38" s="148"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2" t="s">
        <v>558</v>
      </c>
      <c r="E39" s="383"/>
      <c r="F39" s="58"/>
      <c r="G39" s="379" t="s">
        <v>15501</v>
      </c>
      <c r="H39" s="380"/>
      <c r="I39" s="380"/>
      <c r="J39" s="381"/>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2" t="s">
        <v>558</v>
      </c>
      <c r="E40" s="383"/>
      <c r="F40" s="58"/>
      <c r="G40" s="379" t="s">
        <v>15501</v>
      </c>
      <c r="H40" s="380"/>
      <c r="I40" s="380"/>
      <c r="J40" s="381"/>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2.15" customHeight="1">
      <c r="A41" s="52"/>
      <c r="B41" s="51" t="str">
        <f ca="1">OFFSET(L!$C$1,MATCH("Declaration"&amp;ADDRESS(ROW(),COLUMN(),4),L!$A:$A,0)-1,SL,,)&amp;P41</f>
        <v>Tungsten  (*)</v>
      </c>
      <c r="C41" s="13"/>
      <c r="D41" s="382" t="s">
        <v>558</v>
      </c>
      <c r="E41" s="383"/>
      <c r="F41" s="58"/>
      <c r="G41" s="379" t="s">
        <v>15501</v>
      </c>
      <c r="H41" s="380"/>
      <c r="I41" s="380"/>
      <c r="J41" s="381"/>
      <c r="K41" s="47"/>
      <c r="L41" s="146"/>
      <c r="M41" s="134"/>
      <c r="N41" s="134"/>
      <c r="O41" s="135"/>
      <c r="P41" s="148"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397" t="str">
        <f ca="1">D25</f>
        <v>Answer</v>
      </c>
      <c r="E43" s="397"/>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Tantalum  (*)</v>
      </c>
      <c r="C44" s="13"/>
      <c r="D44" s="382" t="s">
        <v>559</v>
      </c>
      <c r="E44" s="383"/>
      <c r="F44" s="58"/>
      <c r="G44" s="379"/>
      <c r="H44" s="380"/>
      <c r="I44" s="380"/>
      <c r="J44" s="381"/>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Tin  (*)</v>
      </c>
      <c r="C45" s="13"/>
      <c r="D45" s="382" t="s">
        <v>559</v>
      </c>
      <c r="E45" s="383"/>
      <c r="F45" s="58"/>
      <c r="G45" s="379"/>
      <c r="H45" s="380"/>
      <c r="I45" s="380"/>
      <c r="J45" s="381"/>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Gold  (*)</v>
      </c>
      <c r="C46" s="13"/>
      <c r="D46" s="382" t="s">
        <v>559</v>
      </c>
      <c r="E46" s="383"/>
      <c r="F46" s="58"/>
      <c r="G46" s="379"/>
      <c r="H46" s="380"/>
      <c r="I46" s="380"/>
      <c r="J46" s="381"/>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Tungsten  (*)</v>
      </c>
      <c r="C47" s="13"/>
      <c r="D47" s="382" t="s">
        <v>559</v>
      </c>
      <c r="E47" s="383"/>
      <c r="F47" s="58"/>
      <c r="G47" s="379"/>
      <c r="H47" s="380"/>
      <c r="I47" s="380"/>
      <c r="J47" s="381"/>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650000000000006" customHeight="1">
      <c r="A49" s="52"/>
      <c r="B49" s="165" t="str">
        <f ca="1">OFFSET(L!$C$1,MATCH("Declaration"&amp;ADDRESS(ROW(),COLUMN(),4),L!$A:$A,0)-1,SL,,)&amp;Q$37</f>
        <v>5) What percentage of relevant suppliers have provided a response to your supply chain survey?  (*)</v>
      </c>
      <c r="C49" s="13"/>
      <c r="D49" s="397" t="str">
        <f ca="1">D25</f>
        <v>Answer</v>
      </c>
      <c r="E49" s="397"/>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46"/>
      <c r="D50" s="398">
        <v>1</v>
      </c>
      <c r="E50" s="399"/>
      <c r="F50" s="58"/>
      <c r="G50" s="379"/>
      <c r="H50" s="380"/>
      <c r="I50" s="380"/>
      <c r="J50" s="381"/>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46"/>
      <c r="D51" s="398">
        <v>1</v>
      </c>
      <c r="E51" s="399"/>
      <c r="F51" s="58"/>
      <c r="G51" s="379"/>
      <c r="H51" s="380"/>
      <c r="I51" s="380"/>
      <c r="J51" s="381"/>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46"/>
      <c r="D52" s="398">
        <v>1</v>
      </c>
      <c r="E52" s="399"/>
      <c r="F52" s="58"/>
      <c r="G52" s="379"/>
      <c r="H52" s="380"/>
      <c r="I52" s="380"/>
      <c r="J52" s="381"/>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46"/>
      <c r="D53" s="398">
        <v>1</v>
      </c>
      <c r="E53" s="399"/>
      <c r="F53" s="58"/>
      <c r="G53" s="379"/>
      <c r="H53" s="380"/>
      <c r="I53" s="380"/>
      <c r="J53" s="381"/>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6) Have you identified all of the smelters supplying the 3TG to your supply chain?  (*)</v>
      </c>
      <c r="C55" s="13"/>
      <c r="D55" s="397" t="str">
        <f ca="1">D25</f>
        <v>Answer</v>
      </c>
      <c r="E55" s="397"/>
      <c r="F55" s="21"/>
      <c r="G55" s="55" t="str">
        <f ca="1">G25</f>
        <v>Comments</v>
      </c>
      <c r="H55" s="392"/>
      <c r="I55" s="392"/>
      <c r="J55" s="392"/>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13"/>
      <c r="D56" s="377" t="s">
        <v>558</v>
      </c>
      <c r="E56" s="378"/>
      <c r="F56" s="58"/>
      <c r="G56" s="379"/>
      <c r="H56" s="380"/>
      <c r="I56" s="380"/>
      <c r="J56" s="381"/>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13"/>
      <c r="D57" s="377" t="s">
        <v>558</v>
      </c>
      <c r="E57" s="378"/>
      <c r="F57" s="58"/>
      <c r="G57" s="379"/>
      <c r="H57" s="380"/>
      <c r="I57" s="380"/>
      <c r="J57" s="381"/>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13"/>
      <c r="D58" s="377" t="s">
        <v>558</v>
      </c>
      <c r="E58" s="378"/>
      <c r="F58" s="58"/>
      <c r="G58" s="379"/>
      <c r="H58" s="380"/>
      <c r="I58" s="380"/>
      <c r="J58" s="381"/>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13"/>
      <c r="D59" s="377" t="s">
        <v>558</v>
      </c>
      <c r="E59" s="378"/>
      <c r="F59" s="58"/>
      <c r="G59" s="379"/>
      <c r="H59" s="380"/>
      <c r="I59" s="380"/>
      <c r="J59" s="381"/>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7) Has all applicable smelter information received by your company been reported in this declaration?  (*)</v>
      </c>
      <c r="C61" s="13"/>
      <c r="D61" s="397" t="str">
        <f ca="1">D25</f>
        <v>Answer</v>
      </c>
      <c r="E61" s="397"/>
      <c r="F61" s="21"/>
      <c r="G61" s="55" t="str">
        <f ca="1">G25</f>
        <v>Comments</v>
      </c>
      <c r="H61" s="392" t="str">
        <f>IF(Q69="(*)","Click here to enter smelter names","")</f>
        <v/>
      </c>
      <c r="I61" s="392"/>
      <c r="J61" s="392"/>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46"/>
      <c r="D62" s="377" t="s">
        <v>558</v>
      </c>
      <c r="E62" s="378"/>
      <c r="F62" s="59"/>
      <c r="G62" s="379"/>
      <c r="H62" s="380"/>
      <c r="I62" s="380"/>
      <c r="J62" s="381"/>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46"/>
      <c r="D63" s="377" t="s">
        <v>558</v>
      </c>
      <c r="E63" s="378"/>
      <c r="F63" s="59"/>
      <c r="G63" s="379"/>
      <c r="H63" s="380"/>
      <c r="I63" s="380"/>
      <c r="J63" s="381"/>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46"/>
      <c r="D64" s="377" t="s">
        <v>558</v>
      </c>
      <c r="E64" s="378"/>
      <c r="F64" s="59"/>
      <c r="G64" s="379"/>
      <c r="H64" s="380"/>
      <c r="I64" s="380"/>
      <c r="J64" s="381"/>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Tungsten  (*)</v>
      </c>
      <c r="C65" s="60"/>
      <c r="D65" s="377" t="s">
        <v>558</v>
      </c>
      <c r="E65" s="378"/>
      <c r="F65" s="61"/>
      <c r="G65" s="379"/>
      <c r="H65" s="380"/>
      <c r="I65" s="380"/>
      <c r="J65" s="381"/>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384" t="str">
        <f ca="1">OFFSET(L!$C$1,MATCH("Declaration"&amp;ADDRESS(ROW(),COLUMN(),4),L!$A:$A,0)-1,SL,,)</f>
        <v>Answer the Following Questions at a Company Level</v>
      </c>
      <c r="C67" s="384"/>
      <c r="D67" s="384"/>
      <c r="E67" s="384"/>
      <c r="F67" s="384"/>
      <c r="G67" s="384"/>
      <c r="H67" s="384"/>
      <c r="I67" s="384"/>
      <c r="J67" s="384"/>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393" t="str">
        <f ca="1">D25</f>
        <v>Answer</v>
      </c>
      <c r="E68" s="393"/>
      <c r="F68" s="64"/>
      <c r="G68" s="393" t="str">
        <f ca="1">G25</f>
        <v>Comments</v>
      </c>
      <c r="H68" s="393" t="e">
        <f>HLOOKUP(SL,LT,$O68,0)</f>
        <v>#NAME?</v>
      </c>
      <c r="I68" s="393"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82" t="s">
        <v>558</v>
      </c>
      <c r="E69" s="383"/>
      <c r="F69" s="68"/>
      <c r="G69" s="379"/>
      <c r="H69" s="380"/>
      <c r="I69" s="380"/>
      <c r="J69" s="381"/>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390"/>
      <c r="H70" s="390"/>
      <c r="I70" s="390"/>
      <c r="J70" s="390"/>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382" t="s">
        <v>558</v>
      </c>
      <c r="E71" s="383"/>
      <c r="F71" s="68"/>
      <c r="G71" s="405" t="s">
        <v>15502</v>
      </c>
      <c r="H71" s="406"/>
      <c r="I71" s="406"/>
      <c r="J71" s="407"/>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82" t="s">
        <v>558</v>
      </c>
      <c r="E73" s="383"/>
      <c r="F73" s="68"/>
      <c r="G73" s="379"/>
      <c r="H73" s="380"/>
      <c r="I73" s="380"/>
      <c r="J73" s="381"/>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82" t="s">
        <v>558</v>
      </c>
      <c r="E75" s="383"/>
      <c r="F75" s="68"/>
      <c r="G75" s="379"/>
      <c r="H75" s="380"/>
      <c r="I75" s="380"/>
      <c r="J75" s="381"/>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82" t="s">
        <v>558</v>
      </c>
      <c r="E77" s="383"/>
      <c r="F77" s="68"/>
      <c r="G77" s="379"/>
      <c r="H77" s="380"/>
      <c r="I77" s="380"/>
      <c r="J77" s="381"/>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388" t="s">
        <v>13311</v>
      </c>
      <c r="E79" s="389"/>
      <c r="F79" s="68"/>
      <c r="G79" s="379"/>
      <c r="H79" s="380"/>
      <c r="I79" s="380"/>
      <c r="J79" s="381"/>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390"/>
      <c r="H80" s="390"/>
      <c r="I80" s="390"/>
      <c r="J80" s="390"/>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382" t="s">
        <v>558</v>
      </c>
      <c r="E81" s="383"/>
      <c r="F81" s="68"/>
      <c r="G81" s="379"/>
      <c r="H81" s="380"/>
      <c r="I81" s="380"/>
      <c r="J81" s="381"/>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391"/>
      <c r="H82" s="391"/>
      <c r="I82" s="391"/>
      <c r="J82" s="391"/>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82" t="s">
        <v>558</v>
      </c>
      <c r="E83" s="383"/>
      <c r="F83" s="68"/>
      <c r="G83" s="379"/>
      <c r="H83" s="380"/>
      <c r="I83" s="380"/>
      <c r="J83" s="381"/>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82" t="s">
        <v>558</v>
      </c>
      <c r="E85" s="383"/>
      <c r="F85" s="68"/>
      <c r="G85" s="379"/>
      <c r="H85" s="380"/>
      <c r="I85" s="380"/>
      <c r="J85" s="381"/>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387" t="str">
        <f>IF(OR($D$8="",$I$3=""),"","Click here to check required fields completion")</f>
        <v/>
      </c>
      <c r="C86" s="387"/>
      <c r="D86" s="387"/>
      <c r="E86" s="387"/>
      <c r="F86" s="387"/>
      <c r="G86" s="387"/>
      <c r="H86" s="387"/>
      <c r="I86" s="387"/>
      <c r="J86" s="387"/>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385" t="str">
        <f ca="1">OFFSET(L!$C$1,MATCH("General"&amp;"Cpy",L!$A:$A,0)-1,SL,,)</f>
        <v>© 2019 Responsible Minerals Initiative. All rights reserved.</v>
      </c>
      <c r="B87" s="386"/>
      <c r="C87" s="386"/>
      <c r="D87" s="386"/>
      <c r="E87" s="386"/>
      <c r="F87" s="386"/>
      <c r="G87" s="386"/>
      <c r="H87" s="386"/>
      <c r="I87" s="386"/>
      <c r="J87" s="386"/>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67" priority="57" stopIfTrue="1">
      <formula>AND(OR($D$26="No",AND($D$26="Yes",$D$32="No")),OR($D$27="No",AND($D$27="Yes",$D$33="No")), OR($D$28="No",AND($D$28="Yes",$D$34="No")), OR($D$29="No",AND($D$29="Yes",$D$35="No")))</formula>
    </cfRule>
    <cfRule type="expression" dxfId="66" priority="58" stopIfTrue="1">
      <formula>IF(D69="",TRUE)</formula>
    </cfRule>
  </conditionalFormatting>
  <conditionalFormatting sqref="D26:E29">
    <cfRule type="expression" dxfId="65" priority="109" stopIfTrue="1">
      <formula>IF($D$26="",TRUE)</formula>
    </cfRule>
  </conditionalFormatting>
  <conditionalFormatting sqref="D8:J8">
    <cfRule type="expression" dxfId="64" priority="123" stopIfTrue="1">
      <formula>IF($D$8="",TRUE)</formula>
    </cfRule>
  </conditionalFormatting>
  <conditionalFormatting sqref="D9:G9">
    <cfRule type="expression" dxfId="63" priority="124" stopIfTrue="1">
      <formula>IF($D$9="",TRUE)</formula>
    </cfRule>
  </conditionalFormatting>
  <conditionalFormatting sqref="D15:J15">
    <cfRule type="expression" dxfId="62" priority="125" stopIfTrue="1">
      <formula>IF($D$15="",TRUE)</formula>
    </cfRule>
  </conditionalFormatting>
  <conditionalFormatting sqref="D16:J16">
    <cfRule type="expression" dxfId="61" priority="126" stopIfTrue="1">
      <formula>IF($D$16="",TRUE)</formula>
    </cfRule>
  </conditionalFormatting>
  <conditionalFormatting sqref="D17:J17">
    <cfRule type="expression" dxfId="60" priority="127" stopIfTrue="1">
      <formula>IF($D$17="",TRUE)</formula>
    </cfRule>
  </conditionalFormatting>
  <conditionalFormatting sqref="D18:J18">
    <cfRule type="expression" dxfId="59" priority="128" stopIfTrue="1">
      <formula>IF($D$18="",TRUE)</formula>
    </cfRule>
  </conditionalFormatting>
  <conditionalFormatting sqref="D22:E22">
    <cfRule type="expression" dxfId="58" priority="131" stopIfTrue="1">
      <formula>IF($D$22="",TRUE)</formula>
    </cfRule>
  </conditionalFormatting>
  <conditionalFormatting sqref="D10:J10">
    <cfRule type="expression" dxfId="57" priority="28" stopIfTrue="1">
      <formula>IF($D$9=$Q$9,TRUE)</formula>
    </cfRule>
    <cfRule type="expression" dxfId="56" priority="138" stopIfTrue="1">
      <formula>IF(AND($D$10="",$D$9=$R$9),TRUE)</formula>
    </cfRule>
  </conditionalFormatting>
  <conditionalFormatting sqref="D44:D47 D50:D53 D56:D59">
    <cfRule type="expression" dxfId="55" priority="23" stopIfTrue="1">
      <formula>$P$32=""</formula>
    </cfRule>
  </conditionalFormatting>
  <conditionalFormatting sqref="D44:E47 D50:E53 D56:E59">
    <cfRule type="expression" dxfId="54" priority="25" stopIfTrue="1">
      <formula>$P$26=""</formula>
    </cfRule>
    <cfRule type="expression" dxfId="53" priority="26" stopIfTrue="1">
      <formula>IF(AND(OR($D$26="Yes",$D$26=""),D44=""),1,0)</formula>
    </cfRule>
  </conditionalFormatting>
  <conditionalFormatting sqref="G79:J79">
    <cfRule type="expression" dxfId="52" priority="19" stopIfTrue="1">
      <formula>IF(AND($D$79="Yes, using other format (describe)",$G$79=""),TRUE)</formula>
    </cfRule>
  </conditionalFormatting>
  <conditionalFormatting sqref="D20:J20">
    <cfRule type="expression" dxfId="51" priority="7" stopIfTrue="1">
      <formula>IF($D$20="",TRUE)</formula>
    </cfRule>
  </conditionalFormatting>
  <conditionalFormatting sqref="D21:J21">
    <cfRule type="expression" dxfId="50" priority="8" stopIfTrue="1">
      <formula>IF($D$21="",TRUE)</formula>
    </cfRule>
  </conditionalFormatting>
  <conditionalFormatting sqref="D32:E35">
    <cfRule type="expression" dxfId="49" priority="6" stopIfTrue="1">
      <formula>IF($D$26="",TRUE)</formula>
    </cfRule>
  </conditionalFormatting>
  <conditionalFormatting sqref="D38:E41">
    <cfRule type="expression" dxfId="48" priority="5" stopIfTrue="1">
      <formula>IF($D$26="",TRUE)</formula>
    </cfRule>
  </conditionalFormatting>
  <conditionalFormatting sqref="D62:D65">
    <cfRule type="expression" dxfId="47" priority="2" stopIfTrue="1">
      <formula>$P$32=""</formula>
    </cfRule>
  </conditionalFormatting>
  <conditionalFormatting sqref="D62:E65">
    <cfRule type="expression" dxfId="46" priority="3" stopIfTrue="1">
      <formula>$P$26=""</formula>
    </cfRule>
    <cfRule type="expression" dxfId="45" priority="4" stopIfTrue="1">
      <formula>IF(AND(OR($D$26="Yes",$D$26=""),D62=""),1,0)</formula>
    </cfRule>
  </conditionalFormatting>
  <conditionalFormatting sqref="G71:J71">
    <cfRule type="expression" dxfId="44" priority="1" stopIfTrue="1">
      <formula>IF(AND($D$71="Yes",$G$71=""),TRUE)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3"/>
  <rowBreaks count="1" manualBreakCount="1">
    <brk id="60"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zoomScaleNormal="100" zoomScalePageLayoutView="55" workbookViewId="0">
      <selection activeCell="A5" sqref="A5"/>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35" t="str">
        <f ca="1">OFFSET(L!$C$1,MATCH("Smelter List"&amp;ADDRESS(ROW(),COLUMN(),4),L!$A:$A,0)-1,SL,,)</f>
        <v>Link to "RMAP Conformant Smelter List"</v>
      </c>
      <c r="K2" s="436"/>
      <c r="L2" s="436"/>
      <c r="M2" s="436"/>
      <c r="N2" s="436"/>
      <c r="O2" s="436"/>
      <c r="P2" s="232"/>
      <c r="Q2" s="233"/>
      <c r="R2" s="234"/>
      <c r="S2" s="234"/>
      <c r="T2" s="234"/>
      <c r="U2" s="261"/>
      <c r="V2" s="261"/>
      <c r="W2" s="262"/>
      <c r="X2" s="261"/>
      <c r="Y2" s="261"/>
      <c r="Z2" s="261"/>
      <c r="AH2" s="178" t="s">
        <v>558</v>
      </c>
    </row>
    <row r="3" spans="1:34" s="263" customFormat="1" ht="255.4" customHeight="1">
      <c r="A3" s="204"/>
      <c r="B3" s="43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7"/>
      <c r="D3" s="437"/>
      <c r="E3" s="437"/>
      <c r="F3" s="264"/>
      <c r="G3" s="438" t="str">
        <f ca="1">OFFSET(L!$C$1,MATCH("General"&amp;"Cpy",L!$A:$A,0)-1,SL,,)</f>
        <v>© 2019 Responsible Minerals Initiative. All rights reserved.</v>
      </c>
      <c r="H3" s="438"/>
      <c r="I3" s="439"/>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19.899999999999999" customHeight="1">
      <c r="A5" s="215" t="s">
        <v>741</v>
      </c>
      <c r="B5" s="216" t="str">
        <f ca="1">IF(LEN(A5)=0,"",INDEX('Smelter Look-up'!$A:$A,MATCH($A5,'Smelter Look-up'!$E:$E,0)))</f>
        <v>Gold</v>
      </c>
      <c r="C5" s="220" t="str">
        <f ca="1">IF(LEN(A5)=0,"",INDEX('Smelter Look-up'!$C:$C,MATCH($A5,'Smelter Look-up'!$E:$E,0)))</f>
        <v>Aida Chemical Industries Co., Ltd.</v>
      </c>
      <c r="D5" s="216"/>
      <c r="E5" s="216" t="str">
        <f ca="1">IF(ISERROR($V5),"",OFFSET('Smelter Look-up'!$D$4,$V5-4,0)&amp;"")</f>
        <v>JAPAN</v>
      </c>
      <c r="F5" s="216" t="str">
        <f ca="1">IF(ISERROR($V5),"",OFFSET('Smelter Look-up'!$E$4,$V5-4,0))</f>
        <v>CID000019</v>
      </c>
      <c r="G5" s="216" t="str">
        <f ca="1">IF(C5=$X$4,"Enter smelter details", IF(ISERROR($V5),"",OFFSET('Smelter Look-up'!$F$4,$V5-4,0)))</f>
        <v>RMI</v>
      </c>
      <c r="H5" s="217">
        <f ca="1">IF(ISERROR($V5),"",OFFSET('Smelter Look-up'!$G$4,$V5-4,0))</f>
        <v>0</v>
      </c>
      <c r="I5" s="218" t="str">
        <f ca="1">IF(ISERROR($V5),"",OFFSET('Smelter Look-up'!$H$4,$V5-4,0))</f>
        <v>Fuchu</v>
      </c>
      <c r="J5" s="218" t="str">
        <f ca="1">IF(ISERROR($V5),"",OFFSET('Smelter Look-up'!$I$4,$V5-4,0))</f>
        <v>Tokyo</v>
      </c>
      <c r="K5" s="267"/>
      <c r="L5" s="267"/>
      <c r="M5" s="267"/>
      <c r="N5" s="267"/>
      <c r="O5" s="267"/>
      <c r="P5" s="219"/>
      <c r="Q5" s="268"/>
      <c r="R5" s="216" t="str">
        <f ca="1">IF(ISERROR($V5),"",OFFSET('Smelter Look-up'!$C$4,$V5-4,0)&amp;"")</f>
        <v>Aida Chemical Industries Co., Ltd.</v>
      </c>
      <c r="S5" s="224" t="str">
        <f t="shared" ref="S5:S68" ca="1" si="0">IF(B5="","",IF(ISERROR(MATCH($E5,CL,0)),"Unknown",INDIRECT("'C'!$A$"&amp;MATCH($E5,CL,0)+1)))</f>
        <v>JP</v>
      </c>
      <c r="T5" s="224" t="str">
        <f ca="1">IF(B5="","",IF(ISERROR(MATCH($J5,SorP!$B$1:$B$6230,0)),"",INDIRECT("'SorP'!$A$"&amp;MATCH($J5,SorP!$B$1:$B$6230,0))))</f>
        <v>JP-13</v>
      </c>
      <c r="U5" s="239"/>
      <c r="V5" s="269">
        <f ca="1">IF(C5="",NA(),MATCH($B5&amp;$C5,'Smelter Look-up'!$J:$J,0))</f>
        <v>11</v>
      </c>
      <c r="W5" s="270"/>
      <c r="X5" s="270">
        <f t="shared" ref="X5:X68" ca="1" si="1">IF(AND(C5="Smelter not listed",OR(LEN(D5)=0,LEN(E5)=0)),1,0)</f>
        <v>0</v>
      </c>
      <c r="Y5" s="270"/>
      <c r="Z5" s="270"/>
      <c r="AB5" s="272" t="str">
        <f t="shared" ref="AB5:AB68" ca="1" si="2">B5&amp;C5</f>
        <v>GoldAida Chemical Industries Co., Ltd.</v>
      </c>
    </row>
    <row r="6" spans="1:34" s="271" customFormat="1" ht="19.899999999999999" customHeight="1">
      <c r="A6" s="215" t="s">
        <v>742</v>
      </c>
      <c r="B6" s="216" t="str">
        <f ca="1">IF(LEN(A6)=0,"",INDEX('Smelter Look-up'!$A:$A,MATCH($A6,'Smelter Look-up'!$E:$E,0)))</f>
        <v>Gold</v>
      </c>
      <c r="C6" s="220" t="str">
        <f ca="1">IF(LEN(A6)=0,"",INDEX('Smelter Look-up'!$C:$C,MATCH($A6,'Smelter Look-up'!$E:$E,0)))</f>
        <v>Allgemeine Gold-und Silberscheideanstalt A.G.</v>
      </c>
      <c r="D6" s="216"/>
      <c r="E6" s="216" t="str">
        <f ca="1">IF(ISERROR($V6),"",OFFSET('Smelter Look-up'!$D$4,$V6-4,0)&amp;"")</f>
        <v>GERMANY</v>
      </c>
      <c r="F6" s="216" t="str">
        <f ca="1">IF(ISERROR($V6),"",OFFSET('Smelter Look-up'!$E$4,$V6-4,0))</f>
        <v>CID000035</v>
      </c>
      <c r="G6" s="216" t="str">
        <f ca="1">IF(C6=$X$4,"Enter smelter details", IF(ISERROR($V6),"",OFFSET('Smelter Look-up'!$F$4,$V6-4,0)))</f>
        <v>RMI</v>
      </c>
      <c r="H6" s="217">
        <f ca="1">IF(ISERROR($V6),"",OFFSET('Smelter Look-up'!$G$4,$V6-4,0))</f>
        <v>0</v>
      </c>
      <c r="I6" s="218" t="str">
        <f ca="1">IF(ISERROR($V6),"",OFFSET('Smelter Look-up'!$H$4,$V6-4,0))</f>
        <v>Pforzheim</v>
      </c>
      <c r="J6" s="218" t="str">
        <f ca="1">IF(ISERROR($V6),"",OFFSET('Smelter Look-up'!$I$4,$V6-4,0))</f>
        <v>Baden-Württemberg</v>
      </c>
      <c r="K6" s="267"/>
      <c r="L6" s="267"/>
      <c r="M6" s="267"/>
      <c r="N6" s="267"/>
      <c r="O6" s="267"/>
      <c r="P6" s="219"/>
      <c r="Q6" s="268"/>
      <c r="R6" s="216" t="str">
        <f ca="1">IF(ISERROR($V6),"",OFFSET('Smelter Look-up'!$C$4,$V6-4,0)&amp;"")</f>
        <v>Allgemeine Gold-und Silberscheideanstalt A.G.</v>
      </c>
      <c r="S6" s="224" t="str">
        <f t="shared" ca="1" si="0"/>
        <v>DE</v>
      </c>
      <c r="T6" s="224" t="str">
        <f ca="1">IF(B6="","",IF(ISERROR(MATCH($J6,SorP!$B$1:$B$6230,0)),"",INDIRECT("'SorP'!$A$"&amp;MATCH($J6,SorP!$B$1:$B$6230,0))))</f>
        <v>DE-BW</v>
      </c>
      <c r="U6" s="239"/>
      <c r="V6" s="269">
        <f ca="1">IF(C6="",NA(),MATCH($B6&amp;$C6,'Smelter Look-up'!$J:$J,0))</f>
        <v>14</v>
      </c>
      <c r="W6" s="270"/>
      <c r="X6" s="270">
        <f t="shared" ca="1" si="1"/>
        <v>0</v>
      </c>
      <c r="Y6" s="270"/>
      <c r="Z6" s="270"/>
      <c r="AB6" s="272" t="str">
        <f t="shared" ca="1" si="2"/>
        <v>GoldAllgemeine Gold-und Silberscheideanstalt A.G.</v>
      </c>
    </row>
    <row r="7" spans="1:34" s="271" customFormat="1" ht="19.899999999999999" customHeight="1">
      <c r="A7" s="215" t="s">
        <v>744</v>
      </c>
      <c r="B7" s="216" t="str">
        <f ca="1">IF(LEN(A7)=0,"",INDEX('Smelter Look-up'!$A:$A,MATCH($A7,'Smelter Look-up'!$E:$E,0)))</f>
        <v>Gold</v>
      </c>
      <c r="C7" s="220" t="str">
        <f ca="1">IF(LEN(A7)=0,"",INDEX('Smelter Look-up'!$C:$C,MATCH($A7,'Smelter Look-up'!$E:$E,0)))</f>
        <v>AngloGold Ashanti Corrego do Sitio Mineracao</v>
      </c>
      <c r="D7" s="216"/>
      <c r="E7" s="216" t="str">
        <f ca="1">IF(ISERROR($V7),"",OFFSET('Smelter Look-up'!$D$4,$V7-4,0)&amp;"")</f>
        <v>BRAZIL</v>
      </c>
      <c r="F7" s="216" t="str">
        <f ca="1">IF(ISERROR($V7),"",OFFSET('Smelter Look-up'!$E$4,$V7-4,0))</f>
        <v>CID000058</v>
      </c>
      <c r="G7" s="216" t="str">
        <f ca="1">IF(C7=$X$4,"Enter smelter details", IF(ISERROR($V7),"",OFFSET('Smelter Look-up'!$F$4,$V7-4,0)))</f>
        <v>RMI</v>
      </c>
      <c r="H7" s="217">
        <f ca="1">IF(ISERROR($V7),"",OFFSET('Smelter Look-up'!$G$4,$V7-4,0))</f>
        <v>0</v>
      </c>
      <c r="I7" s="218" t="str">
        <f ca="1">IF(ISERROR($V7),"",OFFSET('Smelter Look-up'!$H$4,$V7-4,0))</f>
        <v>Nova Lima</v>
      </c>
      <c r="J7" s="218" t="str">
        <f ca="1">IF(ISERROR($V7),"",OFFSET('Smelter Look-up'!$I$4,$V7-4,0))</f>
        <v>Minas Gerais</v>
      </c>
      <c r="K7" s="267"/>
      <c r="L7" s="267"/>
      <c r="M7" s="267"/>
      <c r="N7" s="267"/>
      <c r="O7" s="267"/>
      <c r="P7" s="219"/>
      <c r="Q7" s="268"/>
      <c r="R7" s="216" t="str">
        <f ca="1">IF(ISERROR($V7),"",OFFSET('Smelter Look-up'!$C$4,$V7-4,0)&amp;"")</f>
        <v>AngloGold Ashanti Corrego do Sitio Mineracao</v>
      </c>
      <c r="S7" s="224" t="str">
        <f t="shared" ca="1" si="0"/>
        <v>BR</v>
      </c>
      <c r="T7" s="224" t="str">
        <f ca="1">IF(B7="","",IF(ISERROR(MATCH($J7,SorP!$B$1:$B$6230,0)),"",INDIRECT("'SorP'!$A$"&amp;MATCH($J7,SorP!$B$1:$B$6230,0))))</f>
        <v>BR-MG</v>
      </c>
      <c r="U7" s="239"/>
      <c r="V7" s="269">
        <f ca="1">IF(C7="",NA(),MATCH($B7&amp;$C7,'Smelter Look-up'!$J:$J,0))</f>
        <v>18</v>
      </c>
      <c r="W7" s="270"/>
      <c r="X7" s="270">
        <f t="shared" ca="1" si="1"/>
        <v>0</v>
      </c>
      <c r="Y7" s="270"/>
      <c r="Z7" s="270"/>
      <c r="AB7" s="272" t="str">
        <f t="shared" ca="1" si="2"/>
        <v>GoldAngloGold Ashanti Corrego do Sitio Mineracao</v>
      </c>
    </row>
    <row r="8" spans="1:34" s="271" customFormat="1" ht="19.899999999999999" customHeight="1">
      <c r="A8" s="215" t="s">
        <v>745</v>
      </c>
      <c r="B8" s="216" t="str">
        <f ca="1">IF(LEN(A8)=0,"",INDEX('Smelter Look-up'!$A:$A,MATCH($A8,'Smelter Look-up'!$E:$E,0)))</f>
        <v>Gold</v>
      </c>
      <c r="C8" s="220" t="str">
        <f ca="1">IF(LEN(A8)=0,"",INDEX('Smelter Look-up'!$C:$C,MATCH($A8,'Smelter Look-up'!$E:$E,0)))</f>
        <v>Argor-Heraeus S.A.</v>
      </c>
      <c r="D8" s="216"/>
      <c r="E8" s="216" t="str">
        <f ca="1">IF(ISERROR($V8),"",OFFSET('Smelter Look-up'!$D$4,$V8-4,0)&amp;"")</f>
        <v>SWITZERLAND</v>
      </c>
      <c r="F8" s="216" t="str">
        <f ca="1">IF(ISERROR($V8),"",OFFSET('Smelter Look-up'!$E$4,$V8-4,0))</f>
        <v>CID000077</v>
      </c>
      <c r="G8" s="216" t="str">
        <f ca="1">IF(C8=$X$4,"Enter smelter details", IF(ISERROR($V8),"",OFFSET('Smelter Look-up'!$F$4,$V8-4,0)))</f>
        <v>RMI</v>
      </c>
      <c r="H8" s="217">
        <f ca="1">IF(ISERROR($V8),"",OFFSET('Smelter Look-up'!$G$4,$V8-4,0))</f>
        <v>0</v>
      </c>
      <c r="I8" s="218" t="str">
        <f ca="1">IF(ISERROR($V8),"",OFFSET('Smelter Look-up'!$H$4,$V8-4,0))</f>
        <v>Mendrisio</v>
      </c>
      <c r="J8" s="218" t="str">
        <f ca="1">IF(ISERROR($V8),"",OFFSET('Smelter Look-up'!$I$4,$V8-4,0))</f>
        <v>Ticino</v>
      </c>
      <c r="K8" s="267"/>
      <c r="L8" s="267"/>
      <c r="M8" s="267"/>
      <c r="N8" s="267"/>
      <c r="O8" s="267"/>
      <c r="P8" s="219"/>
      <c r="Q8" s="268"/>
      <c r="R8" s="216" t="str">
        <f ca="1">IF(ISERROR($V8),"",OFFSET('Smelter Look-up'!$C$4,$V8-4,0)&amp;"")</f>
        <v>Argor-Heraeus S.A.</v>
      </c>
      <c r="S8" s="224" t="str">
        <f t="shared" ca="1" si="0"/>
        <v>CH</v>
      </c>
      <c r="T8" s="224" t="str">
        <f ca="1">IF(B8="","",IF(ISERROR(MATCH($J8,SorP!$B$1:$B$6230,0)),"",INDIRECT("'SorP'!$A$"&amp;MATCH($J8,SorP!$B$1:$B$6230,0))))</f>
        <v>CH-TI</v>
      </c>
      <c r="U8" s="239"/>
      <c r="V8" s="269">
        <f ca="1">IF(C8="",NA(),MATCH($B8&amp;$C8,'Smelter Look-up'!$J:$J,0))</f>
        <v>23</v>
      </c>
      <c r="W8" s="270"/>
      <c r="X8" s="270">
        <f t="shared" ca="1" si="1"/>
        <v>0</v>
      </c>
      <c r="Y8" s="270"/>
      <c r="Z8" s="270"/>
      <c r="AB8" s="272" t="str">
        <f t="shared" ca="1" si="2"/>
        <v>GoldArgor-Heraeus S.A.</v>
      </c>
    </row>
    <row r="9" spans="1:34" s="271" customFormat="1" ht="19.899999999999999" customHeight="1">
      <c r="A9" s="215" t="s">
        <v>746</v>
      </c>
      <c r="B9" s="216" t="str">
        <f ca="1">IF(LEN(A9)=0,"",INDEX('Smelter Look-up'!$A:$A,MATCH($A9,'Smelter Look-up'!$E:$E,0)))</f>
        <v>Gold</v>
      </c>
      <c r="C9" s="220" t="str">
        <f ca="1">IF(LEN(A9)=0,"",INDEX('Smelter Look-up'!$C:$C,MATCH($A9,'Smelter Look-up'!$E:$E,0)))</f>
        <v>Asahi Pretec Corp.</v>
      </c>
      <c r="D9" s="216"/>
      <c r="E9" s="216" t="str">
        <f ca="1">IF(ISERROR($V9),"",OFFSET('Smelter Look-up'!$D$4,$V9-4,0)&amp;"")</f>
        <v>JAPAN</v>
      </c>
      <c r="F9" s="216" t="str">
        <f ca="1">IF(ISERROR($V9),"",OFFSET('Smelter Look-up'!$E$4,$V9-4,0))</f>
        <v>CID000082</v>
      </c>
      <c r="G9" s="216" t="str">
        <f ca="1">IF(C9=$X$4,"Enter smelter details", IF(ISERROR($V9),"",OFFSET('Smelter Look-up'!$F$4,$V9-4,0)))</f>
        <v>RMI</v>
      </c>
      <c r="H9" s="217">
        <f ca="1">IF(ISERROR($V9),"",OFFSET('Smelter Look-up'!$G$4,$V9-4,0))</f>
        <v>0</v>
      </c>
      <c r="I9" s="218" t="str">
        <f ca="1">IF(ISERROR($V9),"",OFFSET('Smelter Look-up'!$H$4,$V9-4,0))</f>
        <v>Kobe</v>
      </c>
      <c r="J9" s="218" t="str">
        <f ca="1">IF(ISERROR($V9),"",OFFSET('Smelter Look-up'!$I$4,$V9-4,0))</f>
        <v>Hyogo</v>
      </c>
      <c r="K9" s="267"/>
      <c r="L9" s="267"/>
      <c r="M9" s="267"/>
      <c r="N9" s="267"/>
      <c r="O9" s="267"/>
      <c r="P9" s="219"/>
      <c r="Q9" s="268"/>
      <c r="R9" s="216" t="str">
        <f ca="1">IF(ISERROR($V9),"",OFFSET('Smelter Look-up'!$C$4,$V9-4,0)&amp;"")</f>
        <v>Asahi Pretec Corp.</v>
      </c>
      <c r="S9" s="224" t="str">
        <f t="shared" ca="1" si="0"/>
        <v>JP</v>
      </c>
      <c r="T9" s="224" t="str">
        <f ca="1">IF(B9="","",IF(ISERROR(MATCH($J9,SorP!$B$1:$B$6230,0)),"",INDIRECT("'SorP'!$A$"&amp;MATCH($J9,SorP!$B$1:$B$6230,0))))</f>
        <v>JP-28</v>
      </c>
      <c r="U9" s="239"/>
      <c r="V9" s="269">
        <f ca="1">IF(C9="",NA(),MATCH($B9&amp;$C9,'Smelter Look-up'!$J:$J,0))</f>
        <v>24</v>
      </c>
      <c r="W9" s="270"/>
      <c r="X9" s="270">
        <f t="shared" ca="1" si="1"/>
        <v>0</v>
      </c>
      <c r="Y9" s="270"/>
      <c r="Z9" s="270"/>
      <c r="AB9" s="272" t="str">
        <f t="shared" ca="1" si="2"/>
        <v>GoldAsahi Pretec Corp.</v>
      </c>
    </row>
    <row r="10" spans="1:34" s="271" customFormat="1" ht="19.899999999999999" customHeight="1">
      <c r="A10" s="215" t="s">
        <v>747</v>
      </c>
      <c r="B10" s="216" t="str">
        <f ca="1">IF(LEN(A10)=0,"",INDEX('Smelter Look-up'!$A:$A,MATCH($A10,'Smelter Look-up'!$E:$E,0)))</f>
        <v>Gold</v>
      </c>
      <c r="C10" s="220" t="str">
        <f ca="1">IF(LEN(A10)=0,"",INDEX('Smelter Look-up'!$C:$C,MATCH($A10,'Smelter Look-up'!$E:$E,0)))</f>
        <v>Asaka Riken Co., Ltd.</v>
      </c>
      <c r="D10" s="216"/>
      <c r="E10" s="216" t="str">
        <f ca="1">IF(ISERROR($V10),"",OFFSET('Smelter Look-up'!$D$4,$V10-4,0)&amp;"")</f>
        <v>JAPAN</v>
      </c>
      <c r="F10" s="216" t="str">
        <f ca="1">IF(ISERROR($V10),"",OFFSET('Smelter Look-up'!$E$4,$V10-4,0))</f>
        <v>CID000090</v>
      </c>
      <c r="G10" s="216" t="str">
        <f ca="1">IF(C10=$X$4,"Enter smelter details", IF(ISERROR($V10),"",OFFSET('Smelter Look-up'!$F$4,$V10-4,0)))</f>
        <v>RMI</v>
      </c>
      <c r="H10" s="217">
        <f ca="1">IF(ISERROR($V10),"",OFFSET('Smelter Look-up'!$G$4,$V10-4,0))</f>
        <v>0</v>
      </c>
      <c r="I10" s="218" t="str">
        <f ca="1">IF(ISERROR($V10),"",OFFSET('Smelter Look-up'!$H$4,$V10-4,0))</f>
        <v>Tamura</v>
      </c>
      <c r="J10" s="218" t="str">
        <f ca="1">IF(ISERROR($V10),"",OFFSET('Smelter Look-up'!$I$4,$V10-4,0))</f>
        <v>Fukushima</v>
      </c>
      <c r="K10" s="267"/>
      <c r="L10" s="267"/>
      <c r="M10" s="267"/>
      <c r="N10" s="267"/>
      <c r="O10" s="267"/>
      <c r="P10" s="219"/>
      <c r="Q10" s="268"/>
      <c r="R10" s="216" t="str">
        <f ca="1">IF(ISERROR($V10),"",OFFSET('Smelter Look-up'!$C$4,$V10-4,0)&amp;"")</f>
        <v>Asaka Riken Co., Ltd.</v>
      </c>
      <c r="S10" s="224" t="str">
        <f t="shared" ca="1" si="0"/>
        <v>JP</v>
      </c>
      <c r="T10" s="224" t="str">
        <f ca="1">IF(B10="","",IF(ISERROR(MATCH($J10,SorP!$B$1:$B$6230,0)),"",INDIRECT("'SorP'!$A$"&amp;MATCH($J10,SorP!$B$1:$B$6230,0))))</f>
        <v>JP-07</v>
      </c>
      <c r="U10" s="239"/>
      <c r="V10" s="269">
        <f ca="1">IF(C10="",NA(),MATCH($B10&amp;$C10,'Smelter Look-up'!$J:$J,0))</f>
        <v>27</v>
      </c>
      <c r="W10" s="270"/>
      <c r="X10" s="270">
        <f t="shared" ca="1" si="1"/>
        <v>0</v>
      </c>
      <c r="Y10" s="270"/>
      <c r="Z10" s="270"/>
      <c r="AB10" s="272" t="str">
        <f t="shared" ca="1" si="2"/>
        <v>GoldAsaka Riken Co., Ltd.</v>
      </c>
    </row>
    <row r="11" spans="1:34" s="271" customFormat="1" ht="19.899999999999999" customHeight="1">
      <c r="A11" s="215" t="s">
        <v>749</v>
      </c>
      <c r="B11" s="216" t="str">
        <f ca="1">IF(LEN(A11)=0,"",INDEX('Smelter Look-up'!$A:$A,MATCH($A11,'Smelter Look-up'!$E:$E,0)))</f>
        <v>Gold</v>
      </c>
      <c r="C11" s="220" t="str">
        <f ca="1">IF(LEN(A11)=0,"",INDEX('Smelter Look-up'!$C:$C,MATCH($A11,'Smelter Look-up'!$E:$E,0)))</f>
        <v>Aurubis AG</v>
      </c>
      <c r="D11" s="216"/>
      <c r="E11" s="216" t="str">
        <f ca="1">IF(ISERROR($V11),"",OFFSET('Smelter Look-up'!$D$4,$V11-4,0)&amp;"")</f>
        <v>GERMANY</v>
      </c>
      <c r="F11" s="216" t="str">
        <f ca="1">IF(ISERROR($V11),"",OFFSET('Smelter Look-up'!$E$4,$V11-4,0))</f>
        <v>CID000113</v>
      </c>
      <c r="G11" s="216" t="str">
        <f ca="1">IF(C11=$X$4,"Enter smelter details", IF(ISERROR($V11),"",OFFSET('Smelter Look-up'!$F$4,$V11-4,0)))</f>
        <v>RMI</v>
      </c>
      <c r="H11" s="217">
        <f ca="1">IF(ISERROR($V11),"",OFFSET('Smelter Look-up'!$G$4,$V11-4,0))</f>
        <v>0</v>
      </c>
      <c r="I11" s="218" t="str">
        <f ca="1">IF(ISERROR($V11),"",OFFSET('Smelter Look-up'!$H$4,$V11-4,0))</f>
        <v>Hamburg</v>
      </c>
      <c r="J11" s="218" t="str">
        <f ca="1">IF(ISERROR($V11),"",OFFSET('Smelter Look-up'!$I$4,$V11-4,0))</f>
        <v>Hamburg</v>
      </c>
      <c r="K11" s="267"/>
      <c r="L11" s="267"/>
      <c r="M11" s="267"/>
      <c r="N11" s="267"/>
      <c r="O11" s="267"/>
      <c r="P11" s="219"/>
      <c r="Q11" s="268"/>
      <c r="R11" s="216" t="str">
        <f ca="1">IF(ISERROR($V11),"",OFFSET('Smelter Look-up'!$C$4,$V11-4,0)&amp;"")</f>
        <v>Aurubis AG</v>
      </c>
      <c r="S11" s="224" t="str">
        <f t="shared" ca="1" si="0"/>
        <v>DE</v>
      </c>
      <c r="T11" s="224" t="str">
        <f ca="1">IF(B11="","",IF(ISERROR(MATCH($J11,SorP!$B$1:$B$6230,0)),"",INDIRECT("'SorP'!$A$"&amp;MATCH($J11,SorP!$B$1:$B$6230,0))))</f>
        <v>DE-HH</v>
      </c>
      <c r="U11" s="239"/>
      <c r="V11" s="269">
        <f ca="1">IF(C11="",NA(),MATCH($B11&amp;$C11,'Smelter Look-up'!$J:$J,0))</f>
        <v>31</v>
      </c>
      <c r="W11" s="270"/>
      <c r="X11" s="270">
        <f t="shared" ca="1" si="1"/>
        <v>0</v>
      </c>
      <c r="Y11" s="270"/>
      <c r="Z11" s="270"/>
      <c r="AB11" s="272" t="str">
        <f t="shared" ca="1" si="2"/>
        <v>GoldAurubis AG</v>
      </c>
    </row>
    <row r="12" spans="1:34" s="271" customFormat="1" ht="25.5">
      <c r="A12" s="215" t="s">
        <v>751</v>
      </c>
      <c r="B12" s="216" t="str">
        <f ca="1">IF(LEN(A12)=0,"",INDEX('Smelter Look-up'!$A:$A,MATCH($A12,'Smelter Look-up'!$E:$E,0)))</f>
        <v>Gold</v>
      </c>
      <c r="C12" s="220" t="str">
        <f ca="1">IF(LEN(A12)=0,"",INDEX('Smelter Look-up'!$C:$C,MATCH($A12,'Smelter Look-up'!$E:$E,0)))</f>
        <v>Boliden AB</v>
      </c>
      <c r="D12" s="216"/>
      <c r="E12" s="216" t="str">
        <f ca="1">IF(ISERROR($V12),"",OFFSET('Smelter Look-up'!$D$4,$V12-4,0)&amp;"")</f>
        <v>SWEDEN</v>
      </c>
      <c r="F12" s="216" t="str">
        <f ca="1">IF(ISERROR($V12),"",OFFSET('Smelter Look-up'!$E$4,$V12-4,0))</f>
        <v>CID000157</v>
      </c>
      <c r="G12" s="216" t="str">
        <f ca="1">IF(C12=$X$4,"Enter smelter details", IF(ISERROR($V12),"",OFFSET('Smelter Look-up'!$F$4,$V12-4,0)))</f>
        <v>RMI</v>
      </c>
      <c r="H12" s="217">
        <f ca="1">IF(ISERROR($V12),"",OFFSET('Smelter Look-up'!$G$4,$V12-4,0))</f>
        <v>0</v>
      </c>
      <c r="I12" s="218" t="str">
        <f ca="1">IF(ISERROR($V12),"",OFFSET('Smelter Look-up'!$H$4,$V12-4,0))</f>
        <v>Skelleftehamn</v>
      </c>
      <c r="J12" s="218" t="str">
        <f ca="1">IF(ISERROR($V12),"",OFFSET('Smelter Look-up'!$I$4,$V12-4,0))</f>
        <v>Västerbottens län [SE-24]</v>
      </c>
      <c r="K12" s="267"/>
      <c r="L12" s="267"/>
      <c r="M12" s="267"/>
      <c r="N12" s="267"/>
      <c r="O12" s="267"/>
      <c r="P12" s="219"/>
      <c r="Q12" s="268"/>
      <c r="R12" s="216" t="str">
        <f ca="1">IF(ISERROR($V12),"",OFFSET('Smelter Look-up'!$C$4,$V12-4,0)&amp;"")</f>
        <v>Boliden AB</v>
      </c>
      <c r="S12" s="224" t="str">
        <f t="shared" ca="1" si="0"/>
        <v>SE</v>
      </c>
      <c r="T12" s="224" t="str">
        <f ca="1">IF(B12="","",IF(ISERROR(MATCH($J12,SorP!$B$1:$B$6230,0)),"",INDIRECT("'SorP'!$A$"&amp;MATCH($J12,SorP!$B$1:$B$6230,0))))</f>
        <v>SE-AC</v>
      </c>
      <c r="U12" s="239"/>
      <c r="V12" s="269">
        <f ca="1">IF(C12="",NA(),MATCH($B12&amp;$C12,'Smelter Look-up'!$J:$J,0))</f>
        <v>36</v>
      </c>
      <c r="W12" s="270"/>
      <c r="X12" s="270">
        <f t="shared" ca="1" si="1"/>
        <v>0</v>
      </c>
      <c r="Y12" s="270"/>
      <c r="Z12" s="270"/>
      <c r="AB12" s="272" t="str">
        <f t="shared" ca="1" si="2"/>
        <v>GoldBoliden AB</v>
      </c>
    </row>
    <row r="13" spans="1:34" s="271" customFormat="1" ht="51">
      <c r="A13" s="215" t="s">
        <v>753</v>
      </c>
      <c r="B13" s="216" t="str">
        <f ca="1">IF(LEN(A13)=0,"",INDEX('Smelter Look-up'!$A:$A,MATCH($A13,'Smelter Look-up'!$E:$E,0)))</f>
        <v>Gold</v>
      </c>
      <c r="C13" s="220" t="str">
        <f ca="1">IF(LEN(A13)=0,"",INDEX('Smelter Look-up'!$C:$C,MATCH($A13,'Smelter Look-up'!$E:$E,0)))</f>
        <v>C. Hafner GmbH + Co. KG</v>
      </c>
      <c r="D13" s="216"/>
      <c r="E13" s="216" t="str">
        <f ca="1">IF(ISERROR($V13),"",OFFSET('Smelter Look-up'!$D$4,$V13-4,0)&amp;"")</f>
        <v>GERMANY</v>
      </c>
      <c r="F13" s="216" t="str">
        <f ca="1">IF(ISERROR($V13),"",OFFSET('Smelter Look-up'!$E$4,$V13-4,0))</f>
        <v>CID000176</v>
      </c>
      <c r="G13" s="216" t="str">
        <f ca="1">IF(C13=$X$4,"Enter smelter details", IF(ISERROR($V13),"",OFFSET('Smelter Look-up'!$F$4,$V13-4,0)))</f>
        <v>RMI</v>
      </c>
      <c r="H13" s="217">
        <f ca="1">IF(ISERROR($V13),"",OFFSET('Smelter Look-up'!$G$4,$V13-4,0))</f>
        <v>0</v>
      </c>
      <c r="I13" s="218" t="str">
        <f ca="1">IF(ISERROR($V13),"",OFFSET('Smelter Look-up'!$H$4,$V13-4,0))</f>
        <v>Pforzheim</v>
      </c>
      <c r="J13" s="218" t="str">
        <f ca="1">IF(ISERROR($V13),"",OFFSET('Smelter Look-up'!$I$4,$V13-4,0))</f>
        <v>Baden-Württemberg</v>
      </c>
      <c r="K13" s="267"/>
      <c r="L13" s="267"/>
      <c r="M13" s="267"/>
      <c r="N13" s="267"/>
      <c r="O13" s="267"/>
      <c r="P13" s="219"/>
      <c r="Q13" s="268"/>
      <c r="R13" s="216" t="str">
        <f ca="1">IF(ISERROR($V13),"",OFFSET('Smelter Look-up'!$C$4,$V13-4,0)&amp;"")</f>
        <v>C. Hafner GmbH + Co. KG</v>
      </c>
      <c r="S13" s="224" t="str">
        <f t="shared" ca="1" si="0"/>
        <v>DE</v>
      </c>
      <c r="T13" s="224" t="str">
        <f ca="1">IF(B13="","",IF(ISERROR(MATCH($J13,SorP!$B$1:$B$6230,0)),"",INDIRECT("'SorP'!$A$"&amp;MATCH($J13,SorP!$B$1:$B$6230,0))))</f>
        <v>DE-BW</v>
      </c>
      <c r="U13" s="239"/>
      <c r="V13" s="269">
        <f ca="1">IF(C13="",NA(),MATCH($B13&amp;$C13,'Smelter Look-up'!$J:$J,0))</f>
        <v>37</v>
      </c>
      <c r="W13" s="270"/>
      <c r="X13" s="270">
        <f t="shared" ca="1" si="1"/>
        <v>0</v>
      </c>
      <c r="Y13" s="270"/>
      <c r="Z13" s="270"/>
      <c r="AB13" s="272" t="str">
        <f t="shared" ca="1" si="2"/>
        <v>GoldC. Hafner GmbH + Co. KG</v>
      </c>
    </row>
    <row r="14" spans="1:34" s="271" customFormat="1" ht="102">
      <c r="A14" s="215" t="s">
        <v>755</v>
      </c>
      <c r="B14" s="216" t="str">
        <f ca="1">IF(LEN(A14)=0,"",INDEX('Smelter Look-up'!$A:$A,MATCH($A14,'Smelter Look-up'!$E:$E,0)))</f>
        <v>Gold</v>
      </c>
      <c r="C14" s="220" t="str">
        <f ca="1">IF(LEN(A14)=0,"",INDEX('Smelter Look-up'!$C:$C,MATCH($A14,'Smelter Look-up'!$E:$E,0)))</f>
        <v>CCR Refinery - Glencore Canada Corporation</v>
      </c>
      <c r="D14" s="216"/>
      <c r="E14" s="216" t="str">
        <f ca="1">IF(ISERROR($V14),"",OFFSET('Smelter Look-up'!$D$4,$V14-4,0)&amp;"")</f>
        <v>CANADA</v>
      </c>
      <c r="F14" s="216" t="str">
        <f ca="1">IF(ISERROR($V14),"",OFFSET('Smelter Look-up'!$E$4,$V14-4,0))</f>
        <v>CID000185</v>
      </c>
      <c r="G14" s="216" t="str">
        <f ca="1">IF(C14=$X$4,"Enter smelter details", IF(ISERROR($V14),"",OFFSET('Smelter Look-up'!$F$4,$V14-4,0)))</f>
        <v>RMI</v>
      </c>
      <c r="H14" s="217">
        <f ca="1">IF(ISERROR($V14),"",OFFSET('Smelter Look-up'!$G$4,$V14-4,0))</f>
        <v>0</v>
      </c>
      <c r="I14" s="218" t="str">
        <f ca="1">IF(ISERROR($V14),"",OFFSET('Smelter Look-up'!$H$4,$V14-4,0))</f>
        <v>Montréal</v>
      </c>
      <c r="J14" s="218" t="str">
        <f ca="1">IF(ISERROR($V14),"",OFFSET('Smelter Look-up'!$I$4,$V14-4,0))</f>
        <v>Quebec</v>
      </c>
      <c r="K14" s="267"/>
      <c r="L14" s="267"/>
      <c r="M14" s="267"/>
      <c r="N14" s="267"/>
      <c r="O14" s="267"/>
      <c r="P14" s="219"/>
      <c r="Q14" s="268"/>
      <c r="R14" s="216" t="str">
        <f ca="1">IF(ISERROR($V14),"",OFFSET('Smelter Look-up'!$C$4,$V14-4,0)&amp;"")</f>
        <v>CCR Refinery - Glencore Canada Corporation</v>
      </c>
      <c r="S14" s="224" t="str">
        <f t="shared" ca="1" si="0"/>
        <v>CA</v>
      </c>
      <c r="T14" s="224" t="str">
        <f ca="1">IF(B14="","",IF(ISERROR(MATCH($J14,SorP!$B$1:$B$6230,0)),"",INDIRECT("'SorP'!$A$"&amp;MATCH($J14,SorP!$B$1:$B$6230,0))))</f>
        <v>CA-QC</v>
      </c>
      <c r="U14" s="239"/>
      <c r="V14" s="269">
        <f ca="1">IF(C14="",NA(),MATCH($B14&amp;$C14,'Smelter Look-up'!$J:$J,0))</f>
        <v>40</v>
      </c>
      <c r="W14" s="270"/>
      <c r="X14" s="270">
        <f t="shared" ca="1" si="1"/>
        <v>0</v>
      </c>
      <c r="Y14" s="270"/>
      <c r="Z14" s="270"/>
      <c r="AB14" s="272" t="str">
        <f t="shared" ca="1" si="2"/>
        <v>GoldCCR Refinery - Glencore Canada Corporation</v>
      </c>
    </row>
    <row r="15" spans="1:34" s="271" customFormat="1" ht="38.25">
      <c r="A15" s="215" t="s">
        <v>757</v>
      </c>
      <c r="B15" s="216" t="str">
        <f ca="1">IF(LEN(A15)=0,"",INDEX('Smelter Look-up'!$A:$A,MATCH($A15,'Smelter Look-up'!$E:$E,0)))</f>
        <v>Gold</v>
      </c>
      <c r="C15" s="220" t="str">
        <f ca="1">IF(LEN(A15)=0,"",INDEX('Smelter Look-up'!$C:$C,MATCH($A15,'Smelter Look-up'!$E:$E,0)))</f>
        <v>Chimet S.p.A.</v>
      </c>
      <c r="D15" s="216"/>
      <c r="E15" s="216" t="str">
        <f ca="1">IF(ISERROR($V15),"",OFFSET('Smelter Look-up'!$D$4,$V15-4,0)&amp;"")</f>
        <v>ITALY</v>
      </c>
      <c r="F15" s="216" t="str">
        <f ca="1">IF(ISERROR($V15),"",OFFSET('Smelter Look-up'!$E$4,$V15-4,0))</f>
        <v>CID000233</v>
      </c>
      <c r="G15" s="216" t="str">
        <f ca="1">IF(C15=$X$4,"Enter smelter details", IF(ISERROR($V15),"",OFFSET('Smelter Look-up'!$F$4,$V15-4,0)))</f>
        <v>RMI</v>
      </c>
      <c r="H15" s="217">
        <f ca="1">IF(ISERROR($V15),"",OFFSET('Smelter Look-up'!$G$4,$V15-4,0))</f>
        <v>0</v>
      </c>
      <c r="I15" s="218" t="str">
        <f ca="1">IF(ISERROR($V15),"",OFFSET('Smelter Look-up'!$H$4,$V15-4,0))</f>
        <v>Arezzo</v>
      </c>
      <c r="J15" s="218" t="str">
        <f ca="1">IF(ISERROR($V15),"",OFFSET('Smelter Look-up'!$I$4,$V15-4,0))</f>
        <v>Toscana</v>
      </c>
      <c r="K15" s="267"/>
      <c r="L15" s="267"/>
      <c r="M15" s="267"/>
      <c r="N15" s="267"/>
      <c r="O15" s="267"/>
      <c r="P15" s="219"/>
      <c r="Q15" s="268"/>
      <c r="R15" s="216" t="str">
        <f ca="1">IF(ISERROR($V15),"",OFFSET('Smelter Look-up'!$C$4,$V15-4,0)&amp;"")</f>
        <v>Chimet S.p.A.</v>
      </c>
      <c r="S15" s="224" t="str">
        <f t="shared" ca="1" si="0"/>
        <v>IT</v>
      </c>
      <c r="T15" s="224" t="str">
        <f ca="1">IF(B15="","",IF(ISERROR(MATCH($J15,SorP!$B$1:$B$6230,0)),"",INDIRECT("'SorP'!$A$"&amp;MATCH($J15,SorP!$B$1:$B$6230,0))))</f>
        <v>IT-52</v>
      </c>
      <c r="U15" s="239"/>
      <c r="V15" s="269">
        <f ca="1">IF(C15="",NA(),MATCH($B15&amp;$C15,'Smelter Look-up'!$J:$J,0))</f>
        <v>47</v>
      </c>
      <c r="W15" s="270"/>
      <c r="X15" s="270">
        <f t="shared" ca="1" si="1"/>
        <v>0</v>
      </c>
      <c r="Y15" s="270"/>
      <c r="Z15" s="270"/>
      <c r="AB15" s="272" t="str">
        <f t="shared" ca="1" si="2"/>
        <v>GoldChimet S.p.A.</v>
      </c>
    </row>
    <row r="16" spans="1:34" s="271" customFormat="1" ht="25.5">
      <c r="A16" s="215" t="s">
        <v>765</v>
      </c>
      <c r="B16" s="216" t="str">
        <f ca="1">IF(LEN(A16)=0,"",INDEX('Smelter Look-up'!$A:$A,MATCH($A16,'Smelter Look-up'!$E:$E,0)))</f>
        <v>Gold</v>
      </c>
      <c r="C16" s="220" t="str">
        <f ca="1">IF(LEN(A16)=0,"",INDEX('Smelter Look-up'!$C:$C,MATCH($A16,'Smelter Look-up'!$E:$E,0)))</f>
        <v>Dowa</v>
      </c>
      <c r="D16" s="216"/>
      <c r="E16" s="216" t="str">
        <f ca="1">IF(ISERROR($V16),"",OFFSET('Smelter Look-up'!$D$4,$V16-4,0)&amp;"")</f>
        <v>JAPAN</v>
      </c>
      <c r="F16" s="216" t="str">
        <f ca="1">IF(ISERROR($V16),"",OFFSET('Smelter Look-up'!$E$4,$V16-4,0))</f>
        <v>CID000401</v>
      </c>
      <c r="G16" s="216" t="str">
        <f ca="1">IF(C16=$X$4,"Enter smelter details", IF(ISERROR($V16),"",OFFSET('Smelter Look-up'!$F$4,$V16-4,0)))</f>
        <v>RMI</v>
      </c>
      <c r="H16" s="217">
        <f ca="1">IF(ISERROR($V16),"",OFFSET('Smelter Look-up'!$G$4,$V16-4,0))</f>
        <v>0</v>
      </c>
      <c r="I16" s="218" t="str">
        <f ca="1">IF(ISERROR($V16),"",OFFSET('Smelter Look-up'!$H$4,$V16-4,0))</f>
        <v>Kosaka</v>
      </c>
      <c r="J16" s="218" t="str">
        <f ca="1">IF(ISERROR($V16),"",OFFSET('Smelter Look-up'!$I$4,$V16-4,0))</f>
        <v>Akita</v>
      </c>
      <c r="K16" s="267"/>
      <c r="L16" s="267"/>
      <c r="M16" s="267"/>
      <c r="N16" s="267"/>
      <c r="O16" s="267"/>
      <c r="P16" s="219"/>
      <c r="Q16" s="268"/>
      <c r="R16" s="216" t="str">
        <f ca="1">IF(ISERROR($V16),"",OFFSET('Smelter Look-up'!$C$4,$V16-4,0)&amp;"")</f>
        <v>Dowa</v>
      </c>
      <c r="S16" s="224" t="str">
        <f t="shared" ca="1" si="0"/>
        <v>JP</v>
      </c>
      <c r="T16" s="224" t="str">
        <f ca="1">IF(B16="","",IF(ISERROR(MATCH($J16,SorP!$B$1:$B$6230,0)),"",INDIRECT("'SorP'!$A$"&amp;MATCH($J16,SorP!$B$1:$B$6230,0))))</f>
        <v>JP-05</v>
      </c>
      <c r="U16" s="239"/>
      <c r="V16" s="269">
        <f ca="1">IF(C16="",NA(),MATCH($B16&amp;$C16,'Smelter Look-up'!$J:$J,0))</f>
        <v>61</v>
      </c>
      <c r="W16" s="270"/>
      <c r="X16" s="270">
        <f t="shared" ca="1" si="1"/>
        <v>0</v>
      </c>
      <c r="Y16" s="270"/>
      <c r="Z16" s="270"/>
      <c r="AB16" s="272" t="str">
        <f t="shared" ca="1" si="2"/>
        <v>GoldDowa</v>
      </c>
    </row>
    <row r="17" spans="1:28" s="271" customFormat="1" ht="51">
      <c r="A17" s="215" t="s">
        <v>770</v>
      </c>
      <c r="B17" s="216" t="str">
        <f ca="1">IF(LEN(A17)=0,"",INDEX('Smelter Look-up'!$A:$A,MATCH($A17,'Smelter Look-up'!$E:$E,0)))</f>
        <v>Gold</v>
      </c>
      <c r="C17" s="220" t="str">
        <f ca="1">IF(LEN(A17)=0,"",INDEX('Smelter Look-up'!$C:$C,MATCH($A17,'Smelter Look-up'!$E:$E,0)))</f>
        <v>Heimerle + Meule GmbH</v>
      </c>
      <c r="D17" s="216"/>
      <c r="E17" s="216" t="str">
        <f ca="1">IF(ISERROR($V17),"",OFFSET('Smelter Look-up'!$D$4,$V17-4,0)&amp;"")</f>
        <v>GERMANY</v>
      </c>
      <c r="F17" s="216" t="str">
        <f ca="1">IF(ISERROR($V17),"",OFFSET('Smelter Look-up'!$E$4,$V17-4,0))</f>
        <v>CID000694</v>
      </c>
      <c r="G17" s="216" t="str">
        <f ca="1">IF(C17=$X$4,"Enter smelter details", IF(ISERROR($V17),"",OFFSET('Smelter Look-up'!$F$4,$V17-4,0)))</f>
        <v>RMI</v>
      </c>
      <c r="H17" s="217">
        <f ca="1">IF(ISERROR($V17),"",OFFSET('Smelter Look-up'!$G$4,$V17-4,0))</f>
        <v>0</v>
      </c>
      <c r="I17" s="218" t="str">
        <f ca="1">IF(ISERROR($V17),"",OFFSET('Smelter Look-up'!$H$4,$V17-4,0))</f>
        <v>Pforzheim</v>
      </c>
      <c r="J17" s="218" t="str">
        <f ca="1">IF(ISERROR($V17),"",OFFSET('Smelter Look-up'!$I$4,$V17-4,0))</f>
        <v>Baden-Württemberg</v>
      </c>
      <c r="K17" s="267"/>
      <c r="L17" s="267"/>
      <c r="M17" s="267"/>
      <c r="N17" s="267"/>
      <c r="O17" s="267"/>
      <c r="P17" s="219"/>
      <c r="Q17" s="268"/>
      <c r="R17" s="216" t="str">
        <f ca="1">IF(ISERROR($V17),"",OFFSET('Smelter Look-up'!$C$4,$V17-4,0)&amp;"")</f>
        <v>Heimerle + Meule GmbH</v>
      </c>
      <c r="S17" s="224" t="str">
        <f t="shared" ca="1" si="0"/>
        <v>DE</v>
      </c>
      <c r="T17" s="224" t="str">
        <f ca="1">IF(B17="","",IF(ISERROR(MATCH($J17,SorP!$B$1:$B$6230,0)),"",INDIRECT("'SorP'!$A$"&amp;MATCH($J17,SorP!$B$1:$B$6230,0))))</f>
        <v>DE-BW</v>
      </c>
      <c r="U17" s="239"/>
      <c r="V17" s="269">
        <f ca="1">IF(C17="",NA(),MATCH($B17&amp;$C17,'Smelter Look-up'!$J:$J,0))</f>
        <v>86</v>
      </c>
      <c r="W17" s="270"/>
      <c r="X17" s="270">
        <f t="shared" ca="1" si="1"/>
        <v>0</v>
      </c>
      <c r="Y17" s="270"/>
      <c r="Z17" s="270"/>
      <c r="AB17" s="272" t="str">
        <f t="shared" ca="1" si="2"/>
        <v>GoldHeimerle + Meule GmbH</v>
      </c>
    </row>
    <row r="18" spans="1:28" s="271" customFormat="1" ht="76.5">
      <c r="A18" s="215" t="s">
        <v>771</v>
      </c>
      <c r="B18" s="216" t="str">
        <f ca="1">IF(LEN(A18)=0,"",INDEX('Smelter Look-up'!$A:$A,MATCH($A18,'Smelter Look-up'!$E:$E,0)))</f>
        <v>Gold</v>
      </c>
      <c r="C18" s="220" t="str">
        <f ca="1">IF(LEN(A18)=0,"",INDEX('Smelter Look-up'!$C:$C,MATCH($A18,'Smelter Look-up'!$E:$E,0)))</f>
        <v>Heraeus Metals Hong Kong Ltd.</v>
      </c>
      <c r="D18" s="216"/>
      <c r="E18" s="216" t="str">
        <f ca="1">IF(ISERROR($V18),"",OFFSET('Smelter Look-up'!$D$4,$V18-4,0)&amp;"")</f>
        <v>CHINA</v>
      </c>
      <c r="F18" s="216" t="str">
        <f ca="1">IF(ISERROR($V18),"",OFFSET('Smelter Look-up'!$E$4,$V18-4,0))</f>
        <v>CID000707</v>
      </c>
      <c r="G18" s="216" t="str">
        <f ca="1">IF(C18=$X$4,"Enter smelter details", IF(ISERROR($V18),"",OFFSET('Smelter Look-up'!$F$4,$V18-4,0)))</f>
        <v>RMI</v>
      </c>
      <c r="H18" s="217">
        <f ca="1">IF(ISERROR($V18),"",OFFSET('Smelter Look-up'!$G$4,$V18-4,0))</f>
        <v>0</v>
      </c>
      <c r="I18" s="218" t="str">
        <f ca="1">IF(ISERROR($V18),"",OFFSET('Smelter Look-up'!$H$4,$V18-4,0))</f>
        <v>Fanling</v>
      </c>
      <c r="J18" s="218" t="str">
        <f ca="1">IF(ISERROR($V18),"",OFFSET('Smelter Look-up'!$I$4,$V18-4,0))</f>
        <v>Hong Kong SAR</v>
      </c>
      <c r="K18" s="267"/>
      <c r="L18" s="267"/>
      <c r="M18" s="267"/>
      <c r="N18" s="267"/>
      <c r="O18" s="267"/>
      <c r="P18" s="219"/>
      <c r="Q18" s="268"/>
      <c r="R18" s="216" t="str">
        <f ca="1">IF(ISERROR($V18),"",OFFSET('Smelter Look-up'!$C$4,$V18-4,0)&amp;"")</f>
        <v>Heraeus Metals Hong Kong Ltd.</v>
      </c>
      <c r="S18" s="224" t="str">
        <f t="shared" ca="1" si="0"/>
        <v>CN</v>
      </c>
      <c r="T18" s="224" t="str">
        <f ca="1">IF(B18="","",IF(ISERROR(MATCH($J18,SorP!$B$1:$B$6230,0)),"",INDIRECT("'SorP'!$A$"&amp;MATCH($J18,SorP!$B$1:$B$6230,0))))</f>
        <v>CN-HK</v>
      </c>
      <c r="U18" s="239"/>
      <c r="V18" s="269">
        <f ca="1">IF(C18="",NA(),MATCH($B18&amp;$C18,'Smelter Look-up'!$J:$J,0))</f>
        <v>91</v>
      </c>
      <c r="W18" s="270"/>
      <c r="X18" s="270">
        <f t="shared" ca="1" si="1"/>
        <v>0</v>
      </c>
      <c r="Y18" s="270"/>
      <c r="Z18" s="270"/>
      <c r="AB18" s="272" t="str">
        <f t="shared" ca="1" si="2"/>
        <v>GoldHeraeus Metals Hong Kong Ltd.</v>
      </c>
    </row>
    <row r="19" spans="1:28" s="271" customFormat="1" ht="76.5">
      <c r="A19" s="215" t="s">
        <v>772</v>
      </c>
      <c r="B19" s="216" t="str">
        <f ca="1">IF(LEN(A19)=0,"",INDEX('Smelter Look-up'!$A:$A,MATCH($A19,'Smelter Look-up'!$E:$E,0)))</f>
        <v>Gold</v>
      </c>
      <c r="C19" s="220" t="str">
        <f ca="1">IF(LEN(A19)=0,"",INDEX('Smelter Look-up'!$C:$C,MATCH($A19,'Smelter Look-up'!$E:$E,0)))</f>
        <v>Heraeus Precious Metals GmbH &amp; Co. KG</v>
      </c>
      <c r="D19" s="216"/>
      <c r="E19" s="216" t="str">
        <f ca="1">IF(ISERROR($V19),"",OFFSET('Smelter Look-up'!$D$4,$V19-4,0)&amp;"")</f>
        <v>GERMANY</v>
      </c>
      <c r="F19" s="216" t="str">
        <f ca="1">IF(ISERROR($V19),"",OFFSET('Smelter Look-up'!$E$4,$V19-4,0))</f>
        <v>CID000711</v>
      </c>
      <c r="G19" s="216" t="str">
        <f ca="1">IF(C19=$X$4,"Enter smelter details", IF(ISERROR($V19),"",OFFSET('Smelter Look-up'!$F$4,$V19-4,0)))</f>
        <v>RMI</v>
      </c>
      <c r="H19" s="217">
        <f ca="1">IF(ISERROR($V19),"",OFFSET('Smelter Look-up'!$G$4,$V19-4,0))</f>
        <v>0</v>
      </c>
      <c r="I19" s="218" t="str">
        <f ca="1">IF(ISERROR($V19),"",OFFSET('Smelter Look-up'!$H$4,$V19-4,0))</f>
        <v>Hanau</v>
      </c>
      <c r="J19" s="218" t="str">
        <f ca="1">IF(ISERROR($V19),"",OFFSET('Smelter Look-up'!$I$4,$V19-4,0))</f>
        <v>Hessen</v>
      </c>
      <c r="K19" s="267"/>
      <c r="L19" s="267"/>
      <c r="M19" s="267"/>
      <c r="N19" s="267"/>
      <c r="O19" s="267"/>
      <c r="P19" s="219"/>
      <c r="Q19" s="268"/>
      <c r="R19" s="216" t="str">
        <f ca="1">IF(ISERROR($V19),"",OFFSET('Smelter Look-up'!$C$4,$V19-4,0)&amp;"")</f>
        <v>Heraeus Precious Metals GmbH &amp; Co. KG</v>
      </c>
      <c r="S19" s="224" t="str">
        <f t="shared" ca="1" si="0"/>
        <v>DE</v>
      </c>
      <c r="T19" s="224" t="str">
        <f ca="1">IF(B19="","",IF(ISERROR(MATCH($J19,SorP!$B$1:$B$6230,0)),"",INDIRECT("'SorP'!$A$"&amp;MATCH($J19,SorP!$B$1:$B$6230,0))))</f>
        <v>DE-HE</v>
      </c>
      <c r="U19" s="239"/>
      <c r="V19" s="269">
        <f ca="1">IF(C19="",NA(),MATCH($B19&amp;$C19,'Smelter Look-up'!$J:$J,0))</f>
        <v>92</v>
      </c>
      <c r="W19" s="270"/>
      <c r="X19" s="270">
        <f t="shared" ca="1" si="1"/>
        <v>0</v>
      </c>
      <c r="Y19" s="270"/>
      <c r="Z19" s="270"/>
      <c r="AB19" s="272" t="str">
        <f t="shared" ca="1" si="2"/>
        <v>GoldHeraeus Precious Metals GmbH &amp; Co. KG</v>
      </c>
    </row>
    <row r="20" spans="1:28" s="271" customFormat="1" ht="76.5">
      <c r="A20" s="215" t="s">
        <v>776</v>
      </c>
      <c r="B20" s="216" t="str">
        <f ca="1">IF(LEN(A20)=0,"",INDEX('Smelter Look-up'!$A:$A,MATCH($A20,'Smelter Look-up'!$E:$E,0)))</f>
        <v>Gold</v>
      </c>
      <c r="C20" s="220" t="str">
        <f ca="1">IF(LEN(A20)=0,"",INDEX('Smelter Look-up'!$C:$C,MATCH($A20,'Smelter Look-up'!$E:$E,0)))</f>
        <v>Ishifuku Metal Industry Co., Ltd.</v>
      </c>
      <c r="D20" s="216"/>
      <c r="E20" s="216" t="str">
        <f ca="1">IF(ISERROR($V20),"",OFFSET('Smelter Look-up'!$D$4,$V20-4,0)&amp;"")</f>
        <v>JAPAN</v>
      </c>
      <c r="F20" s="216" t="str">
        <f ca="1">IF(ISERROR($V20),"",OFFSET('Smelter Look-up'!$E$4,$V20-4,0))</f>
        <v>CID000807</v>
      </c>
      <c r="G20" s="216" t="str">
        <f ca="1">IF(C20=$X$4,"Enter smelter details", IF(ISERROR($V20),"",OFFSET('Smelter Look-up'!$F$4,$V20-4,0)))</f>
        <v>RMI</v>
      </c>
      <c r="H20" s="217">
        <f ca="1">IF(ISERROR($V20),"",OFFSET('Smelter Look-up'!$G$4,$V20-4,0))</f>
        <v>0</v>
      </c>
      <c r="I20" s="218" t="str">
        <f ca="1">IF(ISERROR($V20),"",OFFSET('Smelter Look-up'!$H$4,$V20-4,0))</f>
        <v>Soka</v>
      </c>
      <c r="J20" s="218" t="str">
        <f ca="1">IF(ISERROR($V20),"",OFFSET('Smelter Look-up'!$I$4,$V20-4,0))</f>
        <v>Saitama</v>
      </c>
      <c r="K20" s="267"/>
      <c r="L20" s="267"/>
      <c r="M20" s="267"/>
      <c r="N20" s="267"/>
      <c r="O20" s="267"/>
      <c r="P20" s="219"/>
      <c r="Q20" s="268"/>
      <c r="R20" s="216" t="str">
        <f ca="1">IF(ISERROR($V20),"",OFFSET('Smelter Look-up'!$C$4,$V20-4,0)&amp;"")</f>
        <v>Ishifuku Metal Industry Co., Ltd.</v>
      </c>
      <c r="S20" s="224" t="str">
        <f t="shared" ca="1" si="0"/>
        <v>JP</v>
      </c>
      <c r="T20" s="224" t="str">
        <f ca="1">IF(B20="","",IF(ISERROR(MATCH($J20,SorP!$B$1:$B$6230,0)),"",INDIRECT("'SorP'!$A$"&amp;MATCH($J20,SorP!$B$1:$B$6230,0))))</f>
        <v>JP-11</v>
      </c>
      <c r="U20" s="239"/>
      <c r="V20" s="269">
        <f ca="1">IF(C20="",NA(),MATCH($B20&amp;$C20,'Smelter Look-up'!$J:$J,0))</f>
        <v>101</v>
      </c>
      <c r="W20" s="270"/>
      <c r="X20" s="270">
        <f t="shared" ca="1" si="1"/>
        <v>0</v>
      </c>
      <c r="Y20" s="270"/>
      <c r="Z20" s="270"/>
      <c r="AB20" s="272" t="str">
        <f t="shared" ca="1" si="2"/>
        <v>GoldIshifuku Metal Industry Co., Ltd.</v>
      </c>
    </row>
    <row r="21" spans="1:28" s="271" customFormat="1" ht="51">
      <c r="A21" s="215" t="s">
        <v>777</v>
      </c>
      <c r="B21" s="216" t="str">
        <f ca="1">IF(LEN(A21)=0,"",INDEX('Smelter Look-up'!$A:$A,MATCH($A21,'Smelter Look-up'!$E:$E,0)))</f>
        <v>Gold</v>
      </c>
      <c r="C21" s="220" t="str">
        <f ca="1">IF(LEN(A21)=0,"",INDEX('Smelter Look-up'!$C:$C,MATCH($A21,'Smelter Look-up'!$E:$E,0)))</f>
        <v>Istanbul Gold Refinery</v>
      </c>
      <c r="D21" s="216"/>
      <c r="E21" s="216" t="str">
        <f ca="1">IF(ISERROR($V21),"",OFFSET('Smelter Look-up'!$D$4,$V21-4,0)&amp;"")</f>
        <v>TURKEY</v>
      </c>
      <c r="F21" s="216" t="str">
        <f ca="1">IF(ISERROR($V21),"",OFFSET('Smelter Look-up'!$E$4,$V21-4,0))</f>
        <v>CID000814</v>
      </c>
      <c r="G21" s="216" t="str">
        <f ca="1">IF(C21=$X$4,"Enter smelter details", IF(ISERROR($V21),"",OFFSET('Smelter Look-up'!$F$4,$V21-4,0)))</f>
        <v>RMI</v>
      </c>
      <c r="H21" s="217">
        <f ca="1">IF(ISERROR($V21),"",OFFSET('Smelter Look-up'!$G$4,$V21-4,0))</f>
        <v>0</v>
      </c>
      <c r="I21" s="218" t="str">
        <f ca="1">IF(ISERROR($V21),"",OFFSET('Smelter Look-up'!$H$4,$V21-4,0))</f>
        <v>Kuyumcukent</v>
      </c>
      <c r="J21" s="218" t="str">
        <f ca="1">IF(ISERROR($V21),"",OFFSET('Smelter Look-up'!$I$4,$V21-4,0))</f>
        <v>İstanbul</v>
      </c>
      <c r="K21" s="267"/>
      <c r="L21" s="267"/>
      <c r="M21" s="267"/>
      <c r="N21" s="267"/>
      <c r="O21" s="267"/>
      <c r="P21" s="219"/>
      <c r="Q21" s="268"/>
      <c r="R21" s="216" t="str">
        <f ca="1">IF(ISERROR($V21),"",OFFSET('Smelter Look-up'!$C$4,$V21-4,0)&amp;"")</f>
        <v>Istanbul Gold Refinery</v>
      </c>
      <c r="S21" s="224" t="str">
        <f t="shared" ca="1" si="0"/>
        <v>TR</v>
      </c>
      <c r="T21" s="224" t="str">
        <f ca="1">IF(B21="","",IF(ISERROR(MATCH($J21,SorP!$B$1:$B$6230,0)),"",INDIRECT("'SorP'!$A$"&amp;MATCH($J21,SorP!$B$1:$B$6230,0))))</f>
        <v>TR-34</v>
      </c>
      <c r="U21" s="239"/>
      <c r="V21" s="269">
        <f ca="1">IF(C21="",NA(),MATCH($B21&amp;$C21,'Smelter Look-up'!$J:$J,0))</f>
        <v>102</v>
      </c>
      <c r="W21" s="270"/>
      <c r="X21" s="270">
        <f t="shared" ca="1" si="1"/>
        <v>0</v>
      </c>
      <c r="Y21" s="270"/>
      <c r="Z21" s="270"/>
      <c r="AB21" s="272" t="str">
        <f t="shared" ca="1" si="2"/>
        <v>GoldIstanbul Gold Refinery</v>
      </c>
    </row>
    <row r="22" spans="1:28" s="271" customFormat="1" ht="63.75">
      <c r="A22" s="215" t="s">
        <v>780</v>
      </c>
      <c r="B22" s="216" t="str">
        <f ca="1">IF(LEN(A22)=0,"",INDEX('Smelter Look-up'!$A:$A,MATCH($A22,'Smelter Look-up'!$E:$E,0)))</f>
        <v>Gold</v>
      </c>
      <c r="C22" s="220" t="str">
        <f ca="1">IF(LEN(A22)=0,"",INDEX('Smelter Look-up'!$C:$C,MATCH($A22,'Smelter Look-up'!$E:$E,0)))</f>
        <v>Asahi Refining USA Inc.</v>
      </c>
      <c r="D22" s="216"/>
      <c r="E22" s="216" t="str">
        <f ca="1">IF(ISERROR($V22),"",OFFSET('Smelter Look-up'!$D$4,$V22-4,0)&amp;"")</f>
        <v>UNITED STATES OF AMERICA</v>
      </c>
      <c r="F22" s="216" t="str">
        <f ca="1">IF(ISERROR($V22),"",OFFSET('Smelter Look-up'!$E$4,$V22-4,0))</f>
        <v>CID000920</v>
      </c>
      <c r="G22" s="216" t="str">
        <f ca="1">IF(C22=$X$4,"Enter smelter details", IF(ISERROR($V22),"",OFFSET('Smelter Look-up'!$F$4,$V22-4,0)))</f>
        <v>RMI</v>
      </c>
      <c r="H22" s="217">
        <f ca="1">IF(ISERROR($V22),"",OFFSET('Smelter Look-up'!$G$4,$V22-4,0))</f>
        <v>0</v>
      </c>
      <c r="I22" s="218" t="str">
        <f ca="1">IF(ISERROR($V22),"",OFFSET('Smelter Look-up'!$H$4,$V22-4,0))</f>
        <v>Salt Lake City</v>
      </c>
      <c r="J22" s="218" t="str">
        <f ca="1">IF(ISERROR($V22),"",OFFSET('Smelter Look-up'!$I$4,$V22-4,0))</f>
        <v>Utah</v>
      </c>
      <c r="K22" s="267"/>
      <c r="L22" s="267"/>
      <c r="M22" s="267"/>
      <c r="N22" s="267"/>
      <c r="O22" s="267"/>
      <c r="P22" s="219"/>
      <c r="Q22" s="268"/>
      <c r="R22" s="216" t="str">
        <f ca="1">IF(ISERROR($V22),"",OFFSET('Smelter Look-up'!$C$4,$V22-4,0)&amp;"")</f>
        <v>Asahi Refining USA Inc.</v>
      </c>
      <c r="S22" s="224" t="str">
        <f t="shared" ca="1" si="0"/>
        <v>US</v>
      </c>
      <c r="T22" s="224" t="str">
        <f ca="1">IF(B22="","",IF(ISERROR(MATCH($J22,SorP!$B$1:$B$6230,0)),"",INDIRECT("'SorP'!$A$"&amp;MATCH($J22,SorP!$B$1:$B$6230,0))))</f>
        <v>US-UT</v>
      </c>
      <c r="U22" s="239"/>
      <c r="V22" s="269">
        <f ca="1">IF(C22="",NA(),MATCH($B22&amp;$C22,'Smelter Look-up'!$J:$J,0))</f>
        <v>26</v>
      </c>
      <c r="W22" s="270"/>
      <c r="X22" s="270">
        <f t="shared" ca="1" si="1"/>
        <v>0</v>
      </c>
      <c r="Y22" s="270"/>
      <c r="Z22" s="270"/>
      <c r="AB22" s="272" t="str">
        <f t="shared" ca="1" si="2"/>
        <v>GoldAsahi Refining USA Inc.</v>
      </c>
    </row>
    <row r="23" spans="1:28" s="271" customFormat="1" ht="63.75">
      <c r="A23" s="215" t="s">
        <v>781</v>
      </c>
      <c r="B23" s="216" t="str">
        <f ca="1">IF(LEN(A23)=0,"",INDEX('Smelter Look-up'!$A:$A,MATCH($A23,'Smelter Look-up'!$E:$E,0)))</f>
        <v>Gold</v>
      </c>
      <c r="C23" s="220" t="str">
        <f ca="1">IF(LEN(A23)=0,"",INDEX('Smelter Look-up'!$C:$C,MATCH($A23,'Smelter Look-up'!$E:$E,0)))</f>
        <v>Asahi Refining Canada Ltd.</v>
      </c>
      <c r="D23" s="216"/>
      <c r="E23" s="216" t="str">
        <f ca="1">IF(ISERROR($V23),"",OFFSET('Smelter Look-up'!$D$4,$V23-4,0)&amp;"")</f>
        <v>CANADA</v>
      </c>
      <c r="F23" s="216" t="str">
        <f ca="1">IF(ISERROR($V23),"",OFFSET('Smelter Look-up'!$E$4,$V23-4,0))</f>
        <v>CID000924</v>
      </c>
      <c r="G23" s="216" t="str">
        <f ca="1">IF(C23=$X$4,"Enter smelter details", IF(ISERROR($V23),"",OFFSET('Smelter Look-up'!$F$4,$V23-4,0)))</f>
        <v>RMI</v>
      </c>
      <c r="H23" s="217">
        <f ca="1">IF(ISERROR($V23),"",OFFSET('Smelter Look-up'!$G$4,$V23-4,0))</f>
        <v>0</v>
      </c>
      <c r="I23" s="218" t="str">
        <f ca="1">IF(ISERROR($V23),"",OFFSET('Smelter Look-up'!$H$4,$V23-4,0))</f>
        <v>Brampton</v>
      </c>
      <c r="J23" s="218" t="str">
        <f ca="1">IF(ISERROR($V23),"",OFFSET('Smelter Look-up'!$I$4,$V23-4,0))</f>
        <v>Ontario</v>
      </c>
      <c r="K23" s="267"/>
      <c r="L23" s="267"/>
      <c r="M23" s="267"/>
      <c r="N23" s="267"/>
      <c r="O23" s="267"/>
      <c r="P23" s="219"/>
      <c r="Q23" s="268"/>
      <c r="R23" s="216" t="str">
        <f ca="1">IF(ISERROR($V23),"",OFFSET('Smelter Look-up'!$C$4,$V23-4,0)&amp;"")</f>
        <v>Asahi Refining Canada Ltd.</v>
      </c>
      <c r="S23" s="224" t="str">
        <f t="shared" ca="1" si="0"/>
        <v>CA</v>
      </c>
      <c r="T23" s="224" t="str">
        <f ca="1">IF(B23="","",IF(ISERROR(MATCH($J23,SorP!$B$1:$B$6230,0)),"",INDIRECT("'SorP'!$A$"&amp;MATCH($J23,SorP!$B$1:$B$6230,0))))</f>
        <v>CA-ON</v>
      </c>
      <c r="U23" s="239"/>
      <c r="V23" s="269">
        <f ca="1">IF(C23="",NA(),MATCH($B23&amp;$C23,'Smelter Look-up'!$J:$J,0))</f>
        <v>25</v>
      </c>
      <c r="W23" s="270"/>
      <c r="X23" s="270">
        <f t="shared" ca="1" si="1"/>
        <v>0</v>
      </c>
      <c r="Y23" s="270"/>
      <c r="Z23" s="270"/>
      <c r="AB23" s="272" t="str">
        <f t="shared" ca="1" si="2"/>
        <v>GoldAsahi Refining Canada Ltd.</v>
      </c>
    </row>
    <row r="24" spans="1:28" s="271" customFormat="1" ht="76.5">
      <c r="A24" s="215" t="s">
        <v>784</v>
      </c>
      <c r="B24" s="216" t="str">
        <f ca="1">IF(LEN(A24)=0,"",INDEX('Smelter Look-up'!$A:$A,MATCH($A24,'Smelter Look-up'!$E:$E,0)))</f>
        <v>Gold</v>
      </c>
      <c r="C24" s="220" t="str">
        <f ca="1">IF(LEN(A24)=0,"",INDEX('Smelter Look-up'!$C:$C,MATCH($A24,'Smelter Look-up'!$E:$E,0)))</f>
        <v>JX Nippon Mining &amp; Metals Co., Ltd.</v>
      </c>
      <c r="D24" s="216"/>
      <c r="E24" s="216" t="str">
        <f ca="1">IF(ISERROR($V24),"",OFFSET('Smelter Look-up'!$D$4,$V24-4,0)&amp;"")</f>
        <v>JAPAN</v>
      </c>
      <c r="F24" s="216" t="str">
        <f ca="1">IF(ISERROR($V24),"",OFFSET('Smelter Look-up'!$E$4,$V24-4,0))</f>
        <v>CID000937</v>
      </c>
      <c r="G24" s="216" t="str">
        <f ca="1">IF(C24=$X$4,"Enter smelter details", IF(ISERROR($V24),"",OFFSET('Smelter Look-up'!$F$4,$V24-4,0)))</f>
        <v>RMI</v>
      </c>
      <c r="H24" s="217">
        <f ca="1">IF(ISERROR($V24),"",OFFSET('Smelter Look-up'!$G$4,$V24-4,0))</f>
        <v>0</v>
      </c>
      <c r="I24" s="218" t="str">
        <f ca="1">IF(ISERROR($V24),"",OFFSET('Smelter Look-up'!$H$4,$V24-4,0))</f>
        <v>Ōita</v>
      </c>
      <c r="J24" s="218" t="str">
        <f ca="1">IF(ISERROR($V24),"",OFFSET('Smelter Look-up'!$I$4,$V24-4,0))</f>
        <v>Ôita</v>
      </c>
      <c r="K24" s="267"/>
      <c r="L24" s="267"/>
      <c r="M24" s="267"/>
      <c r="N24" s="267"/>
      <c r="O24" s="267"/>
      <c r="P24" s="219"/>
      <c r="Q24" s="268"/>
      <c r="R24" s="216" t="str">
        <f ca="1">IF(ISERROR($V24),"",OFFSET('Smelter Look-up'!$C$4,$V24-4,0)&amp;"")</f>
        <v>JX Nippon Mining &amp; Metals Co., Ltd.</v>
      </c>
      <c r="S24" s="224" t="str">
        <f t="shared" ca="1" si="0"/>
        <v>JP</v>
      </c>
      <c r="T24" s="224" t="str">
        <f ca="1">IF(B24="","",IF(ISERROR(MATCH($J24,SorP!$B$1:$B$6230,0)),"",INDIRECT("'SorP'!$A$"&amp;MATCH($J24,SorP!$B$1:$B$6230,0))))</f>
        <v>JP-44</v>
      </c>
      <c r="U24" s="239"/>
      <c r="V24" s="269">
        <f ca="1">IF(C24="",NA(),MATCH($B24&amp;$C24,'Smelter Look-up'!$J:$J,0))</f>
        <v>113</v>
      </c>
      <c r="W24" s="270"/>
      <c r="X24" s="270">
        <f t="shared" ca="1" si="1"/>
        <v>0</v>
      </c>
      <c r="Y24" s="270"/>
      <c r="Z24" s="270"/>
      <c r="AB24" s="272" t="str">
        <f t="shared" ca="1" si="2"/>
        <v>GoldJX Nippon Mining &amp; Metals Co., Ltd.</v>
      </c>
    </row>
    <row r="25" spans="1:28" s="271" customFormat="1" ht="63.75">
      <c r="A25" s="215" t="s">
        <v>787</v>
      </c>
      <c r="B25" s="216" t="str">
        <f ca="1">IF(LEN(A25)=0,"",INDEX('Smelter Look-up'!$A:$A,MATCH($A25,'Smelter Look-up'!$E:$E,0)))</f>
        <v>Gold</v>
      </c>
      <c r="C25" s="220" t="str">
        <f ca="1">IF(LEN(A25)=0,"",INDEX('Smelter Look-up'!$C:$C,MATCH($A25,'Smelter Look-up'!$E:$E,0)))</f>
        <v>Kennecott Utah Copper LLC</v>
      </c>
      <c r="D25" s="216"/>
      <c r="E25" s="216" t="str">
        <f ca="1">IF(ISERROR($V25),"",OFFSET('Smelter Look-up'!$D$4,$V25-4,0)&amp;"")</f>
        <v>UNITED STATES OF AMERICA</v>
      </c>
      <c r="F25" s="216" t="str">
        <f ca="1">IF(ISERROR($V25),"",OFFSET('Smelter Look-up'!$E$4,$V25-4,0))</f>
        <v>CID000969</v>
      </c>
      <c r="G25" s="216" t="str">
        <f ca="1">IF(C25=$X$4,"Enter smelter details", IF(ISERROR($V25),"",OFFSET('Smelter Look-up'!$F$4,$V25-4,0)))</f>
        <v>RMI</v>
      </c>
      <c r="H25" s="217">
        <f ca="1">IF(ISERROR($V25),"",OFFSET('Smelter Look-up'!$G$4,$V25-4,0))</f>
        <v>0</v>
      </c>
      <c r="I25" s="218" t="str">
        <f ca="1">IF(ISERROR($V25),"",OFFSET('Smelter Look-up'!$H$4,$V25-4,0))</f>
        <v>Magna</v>
      </c>
      <c r="J25" s="218" t="str">
        <f ca="1">IF(ISERROR($V25),"",OFFSET('Smelter Look-up'!$I$4,$V25-4,0))</f>
        <v>Utah</v>
      </c>
      <c r="K25" s="267"/>
      <c r="L25" s="267"/>
      <c r="M25" s="267"/>
      <c r="N25" s="267"/>
      <c r="O25" s="267"/>
      <c r="P25" s="219"/>
      <c r="Q25" s="268"/>
      <c r="R25" s="216" t="str">
        <f ca="1">IF(ISERROR($V25),"",OFFSET('Smelter Look-up'!$C$4,$V25-4,0)&amp;"")</f>
        <v>Kennecott Utah Copper LLC</v>
      </c>
      <c r="S25" s="224" t="str">
        <f t="shared" ca="1" si="0"/>
        <v>US</v>
      </c>
      <c r="T25" s="224" t="str">
        <f ca="1">IF(B25="","",IF(ISERROR(MATCH($J25,SorP!$B$1:$B$6230,0)),"",INDIRECT("'SorP'!$A$"&amp;MATCH($J25,SorP!$B$1:$B$6230,0))))</f>
        <v>US-UT</v>
      </c>
      <c r="U25" s="239"/>
      <c r="V25" s="269">
        <f ca="1">IF(C25="",NA(),MATCH($B25&amp;$C25,'Smelter Look-up'!$J:$J,0))</f>
        <v>117</v>
      </c>
      <c r="W25" s="270"/>
      <c r="X25" s="270">
        <f t="shared" ca="1" si="1"/>
        <v>0</v>
      </c>
      <c r="Y25" s="270"/>
      <c r="Z25" s="270"/>
      <c r="AB25" s="272" t="str">
        <f t="shared" ca="1" si="2"/>
        <v>GoldKennecott Utah Copper LLC</v>
      </c>
    </row>
    <row r="26" spans="1:28" s="271" customFormat="1" ht="63.75">
      <c r="A26" s="215" t="s">
        <v>788</v>
      </c>
      <c r="B26" s="216" t="str">
        <f ca="1">IF(LEN(A26)=0,"",INDEX('Smelter Look-up'!$A:$A,MATCH($A26,'Smelter Look-up'!$E:$E,0)))</f>
        <v>Gold</v>
      </c>
      <c r="C26" s="220" t="str">
        <f ca="1">IF(LEN(A26)=0,"",INDEX('Smelter Look-up'!$C:$C,MATCH($A26,'Smelter Look-up'!$E:$E,0)))</f>
        <v>Kojima Chemicals Co., Ltd.</v>
      </c>
      <c r="D26" s="216"/>
      <c r="E26" s="216" t="str">
        <f ca="1">IF(ISERROR($V26),"",OFFSET('Smelter Look-up'!$D$4,$V26-4,0)&amp;"")</f>
        <v>JAPAN</v>
      </c>
      <c r="F26" s="216" t="str">
        <f ca="1">IF(ISERROR($V26),"",OFFSET('Smelter Look-up'!$E$4,$V26-4,0))</f>
        <v>CID000981</v>
      </c>
      <c r="G26" s="216" t="str">
        <f ca="1">IF(C26=$X$4,"Enter smelter details", IF(ISERROR($V26),"",OFFSET('Smelter Look-up'!$F$4,$V26-4,0)))</f>
        <v>RMI</v>
      </c>
      <c r="H26" s="217">
        <f ca="1">IF(ISERROR($V26),"",OFFSET('Smelter Look-up'!$G$4,$V26-4,0))</f>
        <v>0</v>
      </c>
      <c r="I26" s="218" t="str">
        <f ca="1">IF(ISERROR($V26),"",OFFSET('Smelter Look-up'!$H$4,$V26-4,0))</f>
        <v>Sayama</v>
      </c>
      <c r="J26" s="218" t="str">
        <f ca="1">IF(ISERROR($V26),"",OFFSET('Smelter Look-up'!$I$4,$V26-4,0))</f>
        <v>Saitama</v>
      </c>
      <c r="K26" s="267"/>
      <c r="L26" s="267"/>
      <c r="M26" s="267"/>
      <c r="N26" s="267"/>
      <c r="O26" s="267"/>
      <c r="P26" s="219"/>
      <c r="Q26" s="268"/>
      <c r="R26" s="216" t="str">
        <f ca="1">IF(ISERROR($V26),"",OFFSET('Smelter Look-up'!$C$4,$V26-4,0)&amp;"")</f>
        <v>Kojima Chemicals Co., Ltd.</v>
      </c>
      <c r="S26" s="224" t="str">
        <f t="shared" ca="1" si="0"/>
        <v>JP</v>
      </c>
      <c r="T26" s="224" t="str">
        <f ca="1">IF(B26="","",IF(ISERROR(MATCH($J26,SorP!$B$1:$B$6230,0)),"",INDIRECT("'SorP'!$A$"&amp;MATCH($J26,SorP!$B$1:$B$6230,0))))</f>
        <v>JP-11</v>
      </c>
      <c r="U26" s="239"/>
      <c r="V26" s="269">
        <f ca="1">IF(C26="",NA(),MATCH($B26&amp;$C26,'Smelter Look-up'!$J:$J,0))</f>
        <v>121</v>
      </c>
      <c r="W26" s="270"/>
      <c r="X26" s="270">
        <f t="shared" ca="1" si="1"/>
        <v>0</v>
      </c>
      <c r="Y26" s="270"/>
      <c r="Z26" s="270"/>
      <c r="AB26" s="272" t="str">
        <f t="shared" ca="1" si="2"/>
        <v>GoldKojima Chemicals Co., Ltd.</v>
      </c>
    </row>
    <row r="27" spans="1:28" s="271" customFormat="1" ht="51">
      <c r="A27" s="215" t="s">
        <v>792</v>
      </c>
      <c r="B27" s="216" t="str">
        <f ca="1">IF(LEN(A27)=0,"",INDEX('Smelter Look-up'!$A:$A,MATCH($A27,'Smelter Look-up'!$E:$E,0)))</f>
        <v>Gold</v>
      </c>
      <c r="C27" s="220" t="str">
        <f ca="1">IF(LEN(A27)=0,"",INDEX('Smelter Look-up'!$C:$C,MATCH($A27,'Smelter Look-up'!$E:$E,0)))</f>
        <v>LS-NIKKO Copper Inc.</v>
      </c>
      <c r="D27" s="216"/>
      <c r="E27" s="216" t="str">
        <f ca="1">IF(ISERROR($V27),"",OFFSET('Smelter Look-up'!$D$4,$V27-4,0)&amp;"")</f>
        <v>KOREA, REPUBLIC OF</v>
      </c>
      <c r="F27" s="216" t="str">
        <f ca="1">IF(ISERROR($V27),"",OFFSET('Smelter Look-up'!$E$4,$V27-4,0))</f>
        <v>CID001078</v>
      </c>
      <c r="G27" s="216" t="str">
        <f ca="1">IF(C27=$X$4,"Enter smelter details", IF(ISERROR($V27),"",OFFSET('Smelter Look-up'!$F$4,$V27-4,0)))</f>
        <v>RMI</v>
      </c>
      <c r="H27" s="217">
        <f ca="1">IF(ISERROR($V27),"",OFFSET('Smelter Look-up'!$G$4,$V27-4,0))</f>
        <v>0</v>
      </c>
      <c r="I27" s="218" t="str">
        <f ca="1">IF(ISERROR($V27),"",OFFSET('Smelter Look-up'!$H$4,$V27-4,0))</f>
        <v>Onsan-eup</v>
      </c>
      <c r="J27" s="218" t="str">
        <f ca="1">IF(ISERROR($V27),"",OFFSET('Smelter Look-up'!$I$4,$V27-4,0))</f>
        <v>Ulsan-gwangyeoksi</v>
      </c>
      <c r="K27" s="267"/>
      <c r="L27" s="267"/>
      <c r="M27" s="267"/>
      <c r="N27" s="267"/>
      <c r="O27" s="267"/>
      <c r="P27" s="219"/>
      <c r="Q27" s="268"/>
      <c r="R27" s="216" t="str">
        <f ca="1">IF(ISERROR($V27),"",OFFSET('Smelter Look-up'!$C$4,$V27-4,0)&amp;"")</f>
        <v>LS-NIKKO Copper Inc.</v>
      </c>
      <c r="S27" s="224" t="str">
        <f t="shared" ca="1" si="0"/>
        <v>KR</v>
      </c>
      <c r="T27" s="224" t="str">
        <f ca="1">IF(B27="","",IF(ISERROR(MATCH($J27,SorP!$B$1:$B$6230,0)),"",INDIRECT("'SorP'!$A$"&amp;MATCH($J27,SorP!$B$1:$B$6230,0))))</f>
        <v>KR-31</v>
      </c>
      <c r="U27" s="239"/>
      <c r="V27" s="269">
        <f ca="1">IF(C27="",NA(),MATCH($B27&amp;$C27,'Smelter Look-up'!$J:$J,0))</f>
        <v>135</v>
      </c>
      <c r="W27" s="270"/>
      <c r="X27" s="270">
        <f t="shared" ca="1" si="1"/>
        <v>0</v>
      </c>
      <c r="Y27" s="270"/>
      <c r="Z27" s="270"/>
      <c r="AB27" s="272" t="str">
        <f t="shared" ca="1" si="2"/>
        <v>GoldLS-NIKKO Copper Inc.</v>
      </c>
    </row>
    <row r="28" spans="1:28" s="271" customFormat="1" ht="25.5">
      <c r="A28" s="215" t="s">
        <v>795</v>
      </c>
      <c r="B28" s="216" t="str">
        <f ca="1">IF(LEN(A28)=0,"",INDEX('Smelter Look-up'!$A:$A,MATCH($A28,'Smelter Look-up'!$E:$E,0)))</f>
        <v>Gold</v>
      </c>
      <c r="C28" s="220" t="str">
        <f ca="1">IF(LEN(A28)=0,"",INDEX('Smelter Look-up'!$C:$C,MATCH($A28,'Smelter Look-up'!$E:$E,0)))</f>
        <v>Materion</v>
      </c>
      <c r="D28" s="216"/>
      <c r="E28" s="216" t="str">
        <f ca="1">IF(ISERROR($V28),"",OFFSET('Smelter Look-up'!$D$4,$V28-4,0)&amp;"")</f>
        <v>UNITED STATES OF AMERICA</v>
      </c>
      <c r="F28" s="216" t="str">
        <f ca="1">IF(ISERROR($V28),"",OFFSET('Smelter Look-up'!$E$4,$V28-4,0))</f>
        <v>CID001113</v>
      </c>
      <c r="G28" s="216" t="str">
        <f ca="1">IF(C28=$X$4,"Enter smelter details", IF(ISERROR($V28),"",OFFSET('Smelter Look-up'!$F$4,$V28-4,0)))</f>
        <v>RMI</v>
      </c>
      <c r="H28" s="217">
        <f ca="1">IF(ISERROR($V28),"",OFFSET('Smelter Look-up'!$G$4,$V28-4,0))</f>
        <v>0</v>
      </c>
      <c r="I28" s="218" t="str">
        <f ca="1">IF(ISERROR($V28),"",OFFSET('Smelter Look-up'!$H$4,$V28-4,0))</f>
        <v>Buffalo</v>
      </c>
      <c r="J28" s="218" t="str">
        <f ca="1">IF(ISERROR($V28),"",OFFSET('Smelter Look-up'!$I$4,$V28-4,0))</f>
        <v>New York</v>
      </c>
      <c r="K28" s="267"/>
      <c r="L28" s="267"/>
      <c r="M28" s="267"/>
      <c r="N28" s="267"/>
      <c r="O28" s="267"/>
      <c r="P28" s="219"/>
      <c r="Q28" s="268"/>
      <c r="R28" s="216" t="str">
        <f ca="1">IF(ISERROR($V28),"",OFFSET('Smelter Look-up'!$C$4,$V28-4,0)&amp;"")</f>
        <v>Materion</v>
      </c>
      <c r="S28" s="224" t="str">
        <f t="shared" ca="1" si="0"/>
        <v>US</v>
      </c>
      <c r="T28" s="224" t="str">
        <f ca="1">IF(B28="","",IF(ISERROR(MATCH($J28,SorP!$B$1:$B$6230,0)),"",INDIRECT("'SorP'!$A$"&amp;MATCH($J28,SorP!$B$1:$B$6230,0))))</f>
        <v>US-NY</v>
      </c>
      <c r="U28" s="239"/>
      <c r="V28" s="269">
        <f ca="1">IF(C28="",NA(),MATCH($B28&amp;$C28,'Smelter Look-up'!$J:$J,0))</f>
        <v>140</v>
      </c>
      <c r="W28" s="270"/>
      <c r="X28" s="270">
        <f t="shared" ca="1" si="1"/>
        <v>0</v>
      </c>
      <c r="Y28" s="270"/>
      <c r="Z28" s="270"/>
      <c r="AB28" s="272" t="str">
        <f t="shared" ca="1" si="2"/>
        <v>GoldMaterion</v>
      </c>
    </row>
    <row r="29" spans="1:28" s="271" customFormat="1" ht="63.75">
      <c r="A29" s="215" t="s">
        <v>796</v>
      </c>
      <c r="B29" s="216" t="str">
        <f ca="1">IF(LEN(A29)=0,"",INDEX('Smelter Look-up'!$A:$A,MATCH($A29,'Smelter Look-up'!$E:$E,0)))</f>
        <v>Gold</v>
      </c>
      <c r="C29" s="220" t="str">
        <f ca="1">IF(LEN(A29)=0,"",INDEX('Smelter Look-up'!$C:$C,MATCH($A29,'Smelter Look-up'!$E:$E,0)))</f>
        <v>Matsuda Sangyo Co., Ltd.</v>
      </c>
      <c r="D29" s="216"/>
      <c r="E29" s="216" t="str">
        <f ca="1">IF(ISERROR($V29),"",OFFSET('Smelter Look-up'!$D$4,$V29-4,0)&amp;"")</f>
        <v>JAPAN</v>
      </c>
      <c r="F29" s="216" t="str">
        <f ca="1">IF(ISERROR($V29),"",OFFSET('Smelter Look-up'!$E$4,$V29-4,0))</f>
        <v>CID001119</v>
      </c>
      <c r="G29" s="216" t="str">
        <f ca="1">IF(C29=$X$4,"Enter smelter details", IF(ISERROR($V29),"",OFFSET('Smelter Look-up'!$F$4,$V29-4,0)))</f>
        <v>RMI</v>
      </c>
      <c r="H29" s="217">
        <f ca="1">IF(ISERROR($V29),"",OFFSET('Smelter Look-up'!$G$4,$V29-4,0))</f>
        <v>0</v>
      </c>
      <c r="I29" s="218" t="str">
        <f ca="1">IF(ISERROR($V29),"",OFFSET('Smelter Look-up'!$H$4,$V29-4,0))</f>
        <v>Iruma</v>
      </c>
      <c r="J29" s="218" t="str">
        <f ca="1">IF(ISERROR($V29),"",OFFSET('Smelter Look-up'!$I$4,$V29-4,0))</f>
        <v>Saitama</v>
      </c>
      <c r="K29" s="267"/>
      <c r="L29" s="267"/>
      <c r="M29" s="267"/>
      <c r="N29" s="267"/>
      <c r="O29" s="267"/>
      <c r="P29" s="219"/>
      <c r="Q29" s="268"/>
      <c r="R29" s="216" t="str">
        <f ca="1">IF(ISERROR($V29),"",OFFSET('Smelter Look-up'!$C$4,$V29-4,0)&amp;"")</f>
        <v>Matsuda Sangyo Co., Ltd.</v>
      </c>
      <c r="S29" s="224" t="str">
        <f t="shared" ca="1" si="0"/>
        <v>JP</v>
      </c>
      <c r="T29" s="224" t="str">
        <f ca="1">IF(B29="","",IF(ISERROR(MATCH($J29,SorP!$B$1:$B$6230,0)),"",INDIRECT("'SorP'!$A$"&amp;MATCH($J29,SorP!$B$1:$B$6230,0))))</f>
        <v>JP-11</v>
      </c>
      <c r="U29" s="239"/>
      <c r="V29" s="269">
        <f ca="1">IF(C29="",NA(),MATCH($B29&amp;$C29,'Smelter Look-up'!$J:$J,0))</f>
        <v>141</v>
      </c>
      <c r="W29" s="270"/>
      <c r="X29" s="270">
        <f t="shared" ca="1" si="1"/>
        <v>0</v>
      </c>
      <c r="Y29" s="270"/>
      <c r="Z29" s="270"/>
      <c r="AB29" s="272" t="str">
        <f t="shared" ca="1" si="2"/>
        <v>GoldMatsuda Sangyo Co., Ltd.</v>
      </c>
    </row>
    <row r="30" spans="1:28" s="271" customFormat="1" ht="76.5">
      <c r="A30" s="215" t="s">
        <v>1858</v>
      </c>
      <c r="B30" s="216" t="str">
        <f ca="1">IF(LEN(A30)=0,"",INDEX('Smelter Look-up'!$A:$A,MATCH($A30,'Smelter Look-up'!$E:$E,0)))</f>
        <v>Gold</v>
      </c>
      <c r="C30" s="220" t="str">
        <f ca="1">IF(LEN(A30)=0,"",INDEX('Smelter Look-up'!$C:$C,MATCH($A30,'Smelter Look-up'!$E:$E,0)))</f>
        <v>Metalor Technologies (Suzhou) Ltd.</v>
      </c>
      <c r="D30" s="216"/>
      <c r="E30" s="216" t="str">
        <f ca="1">IF(ISERROR($V30),"",OFFSET('Smelter Look-up'!$D$4,$V30-4,0)&amp;"")</f>
        <v>CHINA</v>
      </c>
      <c r="F30" s="216" t="str">
        <f ca="1">IF(ISERROR($V30),"",OFFSET('Smelter Look-up'!$E$4,$V30-4,0))</f>
        <v>CID001147</v>
      </c>
      <c r="G30" s="216" t="str">
        <f ca="1">IF(C30=$X$4,"Enter smelter details", IF(ISERROR($V30),"",OFFSET('Smelter Look-up'!$F$4,$V30-4,0)))</f>
        <v>RMI</v>
      </c>
      <c r="H30" s="217">
        <f ca="1">IF(ISERROR($V30),"",OFFSET('Smelter Look-up'!$G$4,$V30-4,0))</f>
        <v>0</v>
      </c>
      <c r="I30" s="218" t="str">
        <f ca="1">IF(ISERROR($V30),"",OFFSET('Smelter Look-up'!$H$4,$V30-4,0))</f>
        <v>Suzhou</v>
      </c>
      <c r="J30" s="218" t="str">
        <f ca="1">IF(ISERROR($V30),"",OFFSET('Smelter Look-up'!$I$4,$V30-4,0))</f>
        <v>Jiangsu Sheng</v>
      </c>
      <c r="K30" s="267"/>
      <c r="L30" s="267"/>
      <c r="M30" s="267"/>
      <c r="N30" s="267"/>
      <c r="O30" s="267"/>
      <c r="P30" s="219"/>
      <c r="Q30" s="268"/>
      <c r="R30" s="216" t="str">
        <f ca="1">IF(ISERROR($V30),"",OFFSET('Smelter Look-up'!$C$4,$V30-4,0)&amp;"")</f>
        <v>Metalor Technologies (Suzhou) Ltd.</v>
      </c>
      <c r="S30" s="224" t="str">
        <f t="shared" ca="1" si="0"/>
        <v>CN</v>
      </c>
      <c r="T30" s="224" t="str">
        <f ca="1">IF(B30="","",IF(ISERROR(MATCH($J30,SorP!$B$1:$B$6230,0)),"",INDIRECT("'SorP'!$A$"&amp;MATCH($J30,SorP!$B$1:$B$6230,0))))</f>
        <v>CN-JS</v>
      </c>
      <c r="U30" s="239"/>
      <c r="V30" s="269">
        <f ca="1">IF(C30="",NA(),MATCH($B30&amp;$C30,'Smelter Look-up'!$J:$J,0))</f>
        <v>148</v>
      </c>
      <c r="W30" s="270"/>
      <c r="X30" s="270">
        <f t="shared" ca="1" si="1"/>
        <v>0</v>
      </c>
      <c r="Y30" s="270"/>
      <c r="Z30" s="270"/>
      <c r="AB30" s="272" t="str">
        <f t="shared" ca="1" si="2"/>
        <v>GoldMetalor Technologies (Suzhou) Ltd.</v>
      </c>
    </row>
    <row r="31" spans="1:28" s="271" customFormat="1" ht="89.25">
      <c r="A31" s="215" t="s">
        <v>797</v>
      </c>
      <c r="B31" s="216" t="str">
        <f ca="1">IF(LEN(A31)=0,"",INDEX('Smelter Look-up'!$A:$A,MATCH($A31,'Smelter Look-up'!$E:$E,0)))</f>
        <v>Gold</v>
      </c>
      <c r="C31" s="220" t="str">
        <f ca="1">IF(LEN(A31)=0,"",INDEX('Smelter Look-up'!$C:$C,MATCH($A31,'Smelter Look-up'!$E:$E,0)))</f>
        <v>Metalor Technologies (Hong Kong) Ltd.</v>
      </c>
      <c r="D31" s="216"/>
      <c r="E31" s="216" t="str">
        <f ca="1">IF(ISERROR($V31),"",OFFSET('Smelter Look-up'!$D$4,$V31-4,0)&amp;"")</f>
        <v>CHINA</v>
      </c>
      <c r="F31" s="216" t="str">
        <f ca="1">IF(ISERROR($V31),"",OFFSET('Smelter Look-up'!$E$4,$V31-4,0))</f>
        <v>CID001149</v>
      </c>
      <c r="G31" s="216" t="str">
        <f ca="1">IF(C31=$X$4,"Enter smelter details", IF(ISERROR($V31),"",OFFSET('Smelter Look-up'!$F$4,$V31-4,0)))</f>
        <v>RMI</v>
      </c>
      <c r="H31" s="217">
        <f ca="1">IF(ISERROR($V31),"",OFFSET('Smelter Look-up'!$G$4,$V31-4,0))</f>
        <v>0</v>
      </c>
      <c r="I31" s="218" t="str">
        <f ca="1">IF(ISERROR($V31),"",OFFSET('Smelter Look-up'!$H$4,$V31-4,0))</f>
        <v>Kwai Chung</v>
      </c>
      <c r="J31" s="218" t="str">
        <f ca="1">IF(ISERROR($V31),"",OFFSET('Smelter Look-up'!$I$4,$V31-4,0))</f>
        <v>Hong Kong SAR</v>
      </c>
      <c r="K31" s="267"/>
      <c r="L31" s="267"/>
      <c r="M31" s="267"/>
      <c r="N31" s="267"/>
      <c r="O31" s="267"/>
      <c r="P31" s="219"/>
      <c r="Q31" s="268"/>
      <c r="R31" s="216" t="str">
        <f ca="1">IF(ISERROR($V31),"",OFFSET('Smelter Look-up'!$C$4,$V31-4,0)&amp;"")</f>
        <v>Metalor Technologies (Hong Kong) Ltd.</v>
      </c>
      <c r="S31" s="224" t="str">
        <f t="shared" ca="1" si="0"/>
        <v>CN</v>
      </c>
      <c r="T31" s="224" t="str">
        <f ca="1">IF(B31="","",IF(ISERROR(MATCH($J31,SorP!$B$1:$B$6230,0)),"",INDIRECT("'SorP'!$A$"&amp;MATCH($J31,SorP!$B$1:$B$6230,0))))</f>
        <v>CN-HK</v>
      </c>
      <c r="U31" s="239"/>
      <c r="V31" s="269">
        <f ca="1">IF(C31="",NA(),MATCH($B31&amp;$C31,'Smelter Look-up'!$J:$J,0))</f>
        <v>146</v>
      </c>
      <c r="W31" s="270"/>
      <c r="X31" s="270">
        <f t="shared" ca="1" si="1"/>
        <v>0</v>
      </c>
      <c r="Y31" s="270"/>
      <c r="Z31" s="270"/>
      <c r="AB31" s="272" t="str">
        <f t="shared" ca="1" si="2"/>
        <v>GoldMetalor Technologies (Hong Kong) Ltd.</v>
      </c>
    </row>
    <row r="32" spans="1:28" s="271" customFormat="1" ht="102">
      <c r="A32" s="215" t="s">
        <v>798</v>
      </c>
      <c r="B32" s="216" t="str">
        <f ca="1">IF(LEN(A32)=0,"",INDEX('Smelter Look-up'!$A:$A,MATCH($A32,'Smelter Look-up'!$E:$E,0)))</f>
        <v>Gold</v>
      </c>
      <c r="C32" s="220" t="str">
        <f ca="1">IF(LEN(A32)=0,"",INDEX('Smelter Look-up'!$C:$C,MATCH($A32,'Smelter Look-up'!$E:$E,0)))</f>
        <v>Metalor Technologies (Singapore) Pte., Ltd.</v>
      </c>
      <c r="D32" s="216"/>
      <c r="E32" s="216" t="str">
        <f ca="1">IF(ISERROR($V32),"",OFFSET('Smelter Look-up'!$D$4,$V32-4,0)&amp;"")</f>
        <v>SINGAPORE</v>
      </c>
      <c r="F32" s="216" t="str">
        <f ca="1">IF(ISERROR($V32),"",OFFSET('Smelter Look-up'!$E$4,$V32-4,0))</f>
        <v>CID001152</v>
      </c>
      <c r="G32" s="216" t="str">
        <f ca="1">IF(C32=$X$4,"Enter smelter details", IF(ISERROR($V32),"",OFFSET('Smelter Look-up'!$F$4,$V32-4,0)))</f>
        <v>RMI</v>
      </c>
      <c r="H32" s="217">
        <f ca="1">IF(ISERROR($V32),"",OFFSET('Smelter Look-up'!$G$4,$V32-4,0))</f>
        <v>0</v>
      </c>
      <c r="I32" s="218" t="str">
        <f ca="1">IF(ISERROR($V32),"",OFFSET('Smelter Look-up'!$H$4,$V32-4,0))</f>
        <v>Singapore</v>
      </c>
      <c r="J32" s="218" t="str">
        <f ca="1">IF(ISERROR($V32),"",OFFSET('Smelter Look-up'!$I$4,$V32-4,0))</f>
        <v>South West</v>
      </c>
      <c r="K32" s="267"/>
      <c r="L32" s="267"/>
      <c r="M32" s="267"/>
      <c r="N32" s="267"/>
      <c r="O32" s="267"/>
      <c r="P32" s="219"/>
      <c r="Q32" s="268"/>
      <c r="R32" s="216" t="str">
        <f ca="1">IF(ISERROR($V32),"",OFFSET('Smelter Look-up'!$C$4,$V32-4,0)&amp;"")</f>
        <v>Metalor Technologies (Singapore) Pte., Ltd.</v>
      </c>
      <c r="S32" s="224" t="str">
        <f t="shared" ca="1" si="0"/>
        <v>SG</v>
      </c>
      <c r="T32" s="224" t="str">
        <f ca="1">IF(B32="","",IF(ISERROR(MATCH($J32,SorP!$B$1:$B$6230,0)),"",INDIRECT("'SorP'!$A$"&amp;MATCH($J32,SorP!$B$1:$B$6230,0))))</f>
        <v>SG-05</v>
      </c>
      <c r="U32" s="239"/>
      <c r="V32" s="269">
        <f ca="1">IF(C32="",NA(),MATCH($B32&amp;$C32,'Smelter Look-up'!$J:$J,0))</f>
        <v>147</v>
      </c>
      <c r="W32" s="270"/>
      <c r="X32" s="270">
        <f t="shared" ca="1" si="1"/>
        <v>0</v>
      </c>
      <c r="Y32" s="270"/>
      <c r="Z32" s="270"/>
      <c r="AB32" s="272" t="str">
        <f t="shared" ca="1" si="2"/>
        <v>GoldMetalor Technologies (Singapore) Pte., Ltd.</v>
      </c>
    </row>
    <row r="33" spans="1:28" s="271" customFormat="1" ht="63.75">
      <c r="A33" s="215" t="s">
        <v>799</v>
      </c>
      <c r="B33" s="216" t="str">
        <f ca="1">IF(LEN(A33)=0,"",INDEX('Smelter Look-up'!$A:$A,MATCH($A33,'Smelter Look-up'!$E:$E,0)))</f>
        <v>Gold</v>
      </c>
      <c r="C33" s="220" t="str">
        <f ca="1">IF(LEN(A33)=0,"",INDEX('Smelter Look-up'!$C:$C,MATCH($A33,'Smelter Look-up'!$E:$E,0)))</f>
        <v>Metalor Technologies S.A.</v>
      </c>
      <c r="D33" s="216"/>
      <c r="E33" s="216" t="str">
        <f ca="1">IF(ISERROR($V33),"",OFFSET('Smelter Look-up'!$D$4,$V33-4,0)&amp;"")</f>
        <v>SWITZERLAND</v>
      </c>
      <c r="F33" s="216" t="str">
        <f ca="1">IF(ISERROR($V33),"",OFFSET('Smelter Look-up'!$E$4,$V33-4,0))</f>
        <v>CID001153</v>
      </c>
      <c r="G33" s="216" t="str">
        <f ca="1">IF(C33=$X$4,"Enter smelter details", IF(ISERROR($V33),"",OFFSET('Smelter Look-up'!$F$4,$V33-4,0)))</f>
        <v>RMI</v>
      </c>
      <c r="H33" s="217">
        <f ca="1">IF(ISERROR($V33),"",OFFSET('Smelter Look-up'!$G$4,$V33-4,0))</f>
        <v>0</v>
      </c>
      <c r="I33" s="218" t="str">
        <f ca="1">IF(ISERROR($V33),"",OFFSET('Smelter Look-up'!$H$4,$V33-4,0))</f>
        <v>Marin</v>
      </c>
      <c r="J33" s="218" t="str">
        <f ca="1">IF(ISERROR($V33),"",OFFSET('Smelter Look-up'!$I$4,$V33-4,0))</f>
        <v>Neuchâtel</v>
      </c>
      <c r="K33" s="267"/>
      <c r="L33" s="267"/>
      <c r="M33" s="267"/>
      <c r="N33" s="267"/>
      <c r="O33" s="267"/>
      <c r="P33" s="219"/>
      <c r="Q33" s="268"/>
      <c r="R33" s="216" t="str">
        <f ca="1">IF(ISERROR($V33),"",OFFSET('Smelter Look-up'!$C$4,$V33-4,0)&amp;"")</f>
        <v>Metalor Technologies S.A.</v>
      </c>
      <c r="S33" s="224" t="str">
        <f t="shared" ca="1" si="0"/>
        <v>CH</v>
      </c>
      <c r="T33" s="224" t="str">
        <f ca="1">IF(B33="","",IF(ISERROR(MATCH($J33,SorP!$B$1:$B$6230,0)),"",INDIRECT("'SorP'!$A$"&amp;MATCH($J33,SorP!$B$1:$B$6230,0))))</f>
        <v>CH-NE</v>
      </c>
      <c r="U33" s="239"/>
      <c r="V33" s="269">
        <f ca="1">IF(C33="",NA(),MATCH($B33&amp;$C33,'Smelter Look-up'!$J:$J,0))</f>
        <v>149</v>
      </c>
      <c r="W33" s="270"/>
      <c r="X33" s="270">
        <f t="shared" ca="1" si="1"/>
        <v>0</v>
      </c>
      <c r="Y33" s="270"/>
      <c r="Z33" s="270"/>
      <c r="AB33" s="272" t="str">
        <f t="shared" ca="1" si="2"/>
        <v>GoldMetalor Technologies S.A.</v>
      </c>
    </row>
    <row r="34" spans="1:28" s="271" customFormat="1" ht="63.75">
      <c r="A34" s="215" t="s">
        <v>800</v>
      </c>
      <c r="B34" s="216" t="str">
        <f ca="1">IF(LEN(A34)=0,"",INDEX('Smelter Look-up'!$A:$A,MATCH($A34,'Smelter Look-up'!$E:$E,0)))</f>
        <v>Gold</v>
      </c>
      <c r="C34" s="220" t="str">
        <f ca="1">IF(LEN(A34)=0,"",INDEX('Smelter Look-up'!$C:$C,MATCH($A34,'Smelter Look-up'!$E:$E,0)))</f>
        <v>Metalor USA Refining Corporation</v>
      </c>
      <c r="D34" s="216"/>
      <c r="E34" s="216" t="str">
        <f ca="1">IF(ISERROR($V34),"",OFFSET('Smelter Look-up'!$D$4,$V34-4,0)&amp;"")</f>
        <v>UNITED STATES OF AMERICA</v>
      </c>
      <c r="F34" s="216" t="str">
        <f ca="1">IF(ISERROR($V34),"",OFFSET('Smelter Look-up'!$E$4,$V34-4,0))</f>
        <v>CID001157</v>
      </c>
      <c r="G34" s="216" t="str">
        <f ca="1">IF(C34=$X$4,"Enter smelter details", IF(ISERROR($V34),"",OFFSET('Smelter Look-up'!$F$4,$V34-4,0)))</f>
        <v>RMI</v>
      </c>
      <c r="H34" s="217">
        <f ca="1">IF(ISERROR($V34),"",OFFSET('Smelter Look-up'!$G$4,$V34-4,0))</f>
        <v>0</v>
      </c>
      <c r="I34" s="218" t="str">
        <f ca="1">IF(ISERROR($V34),"",OFFSET('Smelter Look-up'!$H$4,$V34-4,0))</f>
        <v>North Attleboro</v>
      </c>
      <c r="J34" s="218" t="str">
        <f ca="1">IF(ISERROR($V34),"",OFFSET('Smelter Look-up'!$I$4,$V34-4,0))</f>
        <v>Massachusetts</v>
      </c>
      <c r="K34" s="267"/>
      <c r="L34" s="267"/>
      <c r="M34" s="267"/>
      <c r="N34" s="267"/>
      <c r="O34" s="267"/>
      <c r="P34" s="219"/>
      <c r="Q34" s="268"/>
      <c r="R34" s="216" t="str">
        <f ca="1">IF(ISERROR($V34),"",OFFSET('Smelter Look-up'!$C$4,$V34-4,0)&amp;"")</f>
        <v>Metalor USA Refining Corporation</v>
      </c>
      <c r="S34" s="224" t="str">
        <f t="shared" ca="1" si="0"/>
        <v>US</v>
      </c>
      <c r="T34" s="224" t="str">
        <f ca="1">IF(B34="","",IF(ISERROR(MATCH($J34,SorP!$B$1:$B$6230,0)),"",INDIRECT("'SorP'!$A$"&amp;MATCH($J34,SorP!$B$1:$B$6230,0))))</f>
        <v>US-MA</v>
      </c>
      <c r="U34" s="239"/>
      <c r="V34" s="269">
        <f ca="1">IF(C34="",NA(),MATCH($B34&amp;$C34,'Smelter Look-up'!$J:$J,0))</f>
        <v>150</v>
      </c>
      <c r="W34" s="270"/>
      <c r="X34" s="270">
        <f t="shared" ca="1" si="1"/>
        <v>0</v>
      </c>
      <c r="Y34" s="270"/>
      <c r="Z34" s="270"/>
      <c r="AB34" s="272" t="str">
        <f t="shared" ca="1" si="2"/>
        <v>GoldMetalor USA Refining Corporation</v>
      </c>
    </row>
    <row r="35" spans="1:28" s="271" customFormat="1" ht="76.5">
      <c r="A35" s="215" t="s">
        <v>802</v>
      </c>
      <c r="B35" s="216" t="str">
        <f ca="1">IF(LEN(A35)=0,"",INDEX('Smelter Look-up'!$A:$A,MATCH($A35,'Smelter Look-up'!$E:$E,0)))</f>
        <v>Gold</v>
      </c>
      <c r="C35" s="220" t="str">
        <f ca="1">IF(LEN(A35)=0,"",INDEX('Smelter Look-up'!$C:$C,MATCH($A35,'Smelter Look-up'!$E:$E,0)))</f>
        <v>Mitsubishi Materials Corporation</v>
      </c>
      <c r="D35" s="216"/>
      <c r="E35" s="216" t="str">
        <f ca="1">IF(ISERROR($V35),"",OFFSET('Smelter Look-up'!$D$4,$V35-4,0)&amp;"")</f>
        <v>JAPAN</v>
      </c>
      <c r="F35" s="216" t="str">
        <f ca="1">IF(ISERROR($V35),"",OFFSET('Smelter Look-up'!$E$4,$V35-4,0))</f>
        <v>CID001188</v>
      </c>
      <c r="G35" s="216" t="str">
        <f ca="1">IF(C35=$X$4,"Enter smelter details", IF(ISERROR($V35),"",OFFSET('Smelter Look-up'!$F$4,$V35-4,0)))</f>
        <v>RMI</v>
      </c>
      <c r="H35" s="217">
        <f ca="1">IF(ISERROR($V35),"",OFFSET('Smelter Look-up'!$G$4,$V35-4,0))</f>
        <v>0</v>
      </c>
      <c r="I35" s="218" t="str">
        <f ca="1">IF(ISERROR($V35),"",OFFSET('Smelter Look-up'!$H$4,$V35-4,0))</f>
        <v>Naoshima</v>
      </c>
      <c r="J35" s="218" t="str">
        <f ca="1">IF(ISERROR($V35),"",OFFSET('Smelter Look-up'!$I$4,$V35-4,0))</f>
        <v>Kagawa</v>
      </c>
      <c r="K35" s="267"/>
      <c r="L35" s="267"/>
      <c r="M35" s="267"/>
      <c r="N35" s="267"/>
      <c r="O35" s="267"/>
      <c r="P35" s="219"/>
      <c r="Q35" s="268"/>
      <c r="R35" s="216" t="str">
        <f ca="1">IF(ISERROR($V35),"",OFFSET('Smelter Look-up'!$C$4,$V35-4,0)&amp;"")</f>
        <v>Mitsubishi Materials Corporation</v>
      </c>
      <c r="S35" s="224" t="str">
        <f t="shared" ca="1" si="0"/>
        <v>JP</v>
      </c>
      <c r="T35" s="224" t="str">
        <f ca="1">IF(B35="","",IF(ISERROR(MATCH($J35,SorP!$B$1:$B$6230,0)),"",INDIRECT("'SorP'!$A$"&amp;MATCH($J35,SorP!$B$1:$B$6230,0))))</f>
        <v>JP-37</v>
      </c>
      <c r="U35" s="239"/>
      <c r="V35" s="269">
        <f ca="1">IF(C35="",NA(),MATCH($B35&amp;$C35,'Smelter Look-up'!$J:$J,0))</f>
        <v>155</v>
      </c>
      <c r="W35" s="270"/>
      <c r="X35" s="270">
        <f t="shared" ca="1" si="1"/>
        <v>0</v>
      </c>
      <c r="Y35" s="270"/>
      <c r="Z35" s="270"/>
      <c r="AB35" s="272" t="str">
        <f t="shared" ca="1" si="2"/>
        <v>GoldMitsubishi Materials Corporation</v>
      </c>
    </row>
    <row r="36" spans="1:28" s="271" customFormat="1" ht="89.25">
      <c r="A36" s="215" t="s">
        <v>803</v>
      </c>
      <c r="B36" s="216" t="str">
        <f ca="1">IF(LEN(A36)=0,"",INDEX('Smelter Look-up'!$A:$A,MATCH($A36,'Smelter Look-up'!$E:$E,0)))</f>
        <v>Gold</v>
      </c>
      <c r="C36" s="220" t="str">
        <f ca="1">IF(LEN(A36)=0,"",INDEX('Smelter Look-up'!$C:$C,MATCH($A36,'Smelter Look-up'!$E:$E,0)))</f>
        <v>Mitsui Mining and Smelting Co., Ltd.</v>
      </c>
      <c r="D36" s="216"/>
      <c r="E36" s="216" t="str">
        <f ca="1">IF(ISERROR($V36),"",OFFSET('Smelter Look-up'!$D$4,$V36-4,0)&amp;"")</f>
        <v>JAPAN</v>
      </c>
      <c r="F36" s="216" t="str">
        <f ca="1">IF(ISERROR($V36),"",OFFSET('Smelter Look-up'!$E$4,$V36-4,0))</f>
        <v>CID001193</v>
      </c>
      <c r="G36" s="216" t="str">
        <f ca="1">IF(C36=$X$4,"Enter smelter details", IF(ISERROR($V36),"",OFFSET('Smelter Look-up'!$F$4,$V36-4,0)))</f>
        <v>RMI</v>
      </c>
      <c r="H36" s="217">
        <f ca="1">IF(ISERROR($V36),"",OFFSET('Smelter Look-up'!$G$4,$V36-4,0))</f>
        <v>0</v>
      </c>
      <c r="I36" s="218" t="str">
        <f ca="1">IF(ISERROR($V36),"",OFFSET('Smelter Look-up'!$H$4,$V36-4,0))</f>
        <v>Takehara</v>
      </c>
      <c r="J36" s="218" t="str">
        <f ca="1">IF(ISERROR($V36),"",OFFSET('Smelter Look-up'!$I$4,$V36-4,0))</f>
        <v>Hiroshima</v>
      </c>
      <c r="K36" s="267"/>
      <c r="L36" s="267"/>
      <c r="M36" s="267"/>
      <c r="N36" s="267"/>
      <c r="O36" s="267"/>
      <c r="P36" s="219"/>
      <c r="Q36" s="268"/>
      <c r="R36" s="216" t="str">
        <f ca="1">IF(ISERROR($V36),"",OFFSET('Smelter Look-up'!$C$4,$V36-4,0)&amp;"")</f>
        <v>Mitsui Mining and Smelting Co., Ltd.</v>
      </c>
      <c r="S36" s="224" t="str">
        <f t="shared" ca="1" si="0"/>
        <v>JP</v>
      </c>
      <c r="T36" s="224" t="str">
        <f ca="1">IF(B36="","",IF(ISERROR(MATCH($J36,SorP!$B$1:$B$6230,0)),"",INDIRECT("'SorP'!$A$"&amp;MATCH($J36,SorP!$B$1:$B$6230,0))))</f>
        <v>JP-34</v>
      </c>
      <c r="U36" s="239"/>
      <c r="V36" s="269">
        <f ca="1">IF(C36="",NA(),MATCH($B36&amp;$C36,'Smelter Look-up'!$J:$J,0))</f>
        <v>157</v>
      </c>
      <c r="W36" s="270"/>
      <c r="X36" s="270">
        <f t="shared" ca="1" si="1"/>
        <v>0</v>
      </c>
      <c r="Y36" s="270"/>
      <c r="Z36" s="270"/>
      <c r="AB36" s="272" t="str">
        <f t="shared" ca="1" si="2"/>
        <v>GoldMitsui Mining and Smelting Co., Ltd.</v>
      </c>
    </row>
    <row r="37" spans="1:28" s="271" customFormat="1" ht="63.75">
      <c r="A37" s="215" t="s">
        <v>807</v>
      </c>
      <c r="B37" s="216" t="str">
        <f ca="1">IF(LEN(A37)=0,"",INDEX('Smelter Look-up'!$A:$A,MATCH($A37,'Smelter Look-up'!$E:$E,0)))</f>
        <v>Gold</v>
      </c>
      <c r="C37" s="220" t="str">
        <f ca="1">IF(LEN(A37)=0,"",INDEX('Smelter Look-up'!$C:$C,MATCH($A37,'Smelter Look-up'!$E:$E,0)))</f>
        <v>Nihon Material Co., Ltd.</v>
      </c>
      <c r="D37" s="216"/>
      <c r="E37" s="216" t="str">
        <f ca="1">IF(ISERROR($V37),"",OFFSET('Smelter Look-up'!$D$4,$V37-4,0)&amp;"")</f>
        <v>JAPAN</v>
      </c>
      <c r="F37" s="216" t="str">
        <f ca="1">IF(ISERROR($V37),"",OFFSET('Smelter Look-up'!$E$4,$V37-4,0))</f>
        <v>CID001259</v>
      </c>
      <c r="G37" s="216" t="str">
        <f ca="1">IF(C37=$X$4,"Enter smelter details", IF(ISERROR($V37),"",OFFSET('Smelter Look-up'!$F$4,$V37-4,0)))</f>
        <v>RMI</v>
      </c>
      <c r="H37" s="217">
        <f ca="1">IF(ISERROR($V37),"",OFFSET('Smelter Look-up'!$G$4,$V37-4,0))</f>
        <v>0</v>
      </c>
      <c r="I37" s="218" t="str">
        <f ca="1">IF(ISERROR($V37),"",OFFSET('Smelter Look-up'!$H$4,$V37-4,0))</f>
        <v>Noda</v>
      </c>
      <c r="J37" s="218" t="str">
        <f ca="1">IF(ISERROR($V37),"",OFFSET('Smelter Look-up'!$I$4,$V37-4,0))</f>
        <v>Chiba</v>
      </c>
      <c r="K37" s="267"/>
      <c r="L37" s="267"/>
      <c r="M37" s="267"/>
      <c r="N37" s="267"/>
      <c r="O37" s="267"/>
      <c r="P37" s="219"/>
      <c r="Q37" s="268"/>
      <c r="R37" s="216" t="str">
        <f ca="1">IF(ISERROR($V37),"",OFFSET('Smelter Look-up'!$C$4,$V37-4,0)&amp;"")</f>
        <v>Nihon Material Co., Ltd.</v>
      </c>
      <c r="S37" s="224" t="str">
        <f t="shared" ca="1" si="0"/>
        <v>JP</v>
      </c>
      <c r="T37" s="224" t="str">
        <f ca="1">IF(B37="","",IF(ISERROR(MATCH($J37,SorP!$B$1:$B$6230,0)),"",INDIRECT("'SorP'!$A$"&amp;MATCH($J37,SorP!$B$1:$B$6230,0))))</f>
        <v>JP-12</v>
      </c>
      <c r="U37" s="239"/>
      <c r="V37" s="269">
        <f ca="1">IF(C37="",NA(),MATCH($B37&amp;$C37,'Smelter Look-up'!$J:$J,0))</f>
        <v>167</v>
      </c>
      <c r="W37" s="270"/>
      <c r="X37" s="270">
        <f t="shared" ca="1" si="1"/>
        <v>0</v>
      </c>
      <c r="Y37" s="270"/>
      <c r="Z37" s="270"/>
      <c r="AB37" s="272" t="str">
        <f t="shared" ca="1" si="2"/>
        <v>GoldNihon Material Co., Ltd.</v>
      </c>
    </row>
    <row r="38" spans="1:28" s="271" customFormat="1" ht="89.25">
      <c r="A38" s="215" t="s">
        <v>808</v>
      </c>
      <c r="B38" s="216" t="str">
        <f ca="1">IF(LEN(A38)=0,"",INDEX('Smelter Look-up'!$A:$A,MATCH($A38,'Smelter Look-up'!$E:$E,0)))</f>
        <v>Gold</v>
      </c>
      <c r="C38" s="220" t="str">
        <f ca="1">IF(LEN(A38)=0,"",INDEX('Smelter Look-up'!$C:$C,MATCH($A38,'Smelter Look-up'!$E:$E,0)))</f>
        <v>Ohura Precious Metal Industry Co., Ltd.</v>
      </c>
      <c r="D38" s="216"/>
      <c r="E38" s="216" t="str">
        <f ca="1">IF(ISERROR($V38),"",OFFSET('Smelter Look-up'!$D$4,$V38-4,0)&amp;"")</f>
        <v>JAPAN</v>
      </c>
      <c r="F38" s="216" t="str">
        <f ca="1">IF(ISERROR($V38),"",OFFSET('Smelter Look-up'!$E$4,$V38-4,0))</f>
        <v>CID001325</v>
      </c>
      <c r="G38" s="216" t="str">
        <f ca="1">IF(C38=$X$4,"Enter smelter details", IF(ISERROR($V38),"",OFFSET('Smelter Look-up'!$F$4,$V38-4,0)))</f>
        <v>RMI</v>
      </c>
      <c r="H38" s="217">
        <f ca="1">IF(ISERROR($V38),"",OFFSET('Smelter Look-up'!$G$4,$V38-4,0))</f>
        <v>0</v>
      </c>
      <c r="I38" s="218" t="str">
        <f ca="1">IF(ISERROR($V38),"",OFFSET('Smelter Look-up'!$H$4,$V38-4,0))</f>
        <v>Nara-shi</v>
      </c>
      <c r="J38" s="218" t="str">
        <f ca="1">IF(ISERROR($V38),"",OFFSET('Smelter Look-up'!$I$4,$V38-4,0))</f>
        <v>Nara</v>
      </c>
      <c r="K38" s="267"/>
      <c r="L38" s="267"/>
      <c r="M38" s="267"/>
      <c r="N38" s="267"/>
      <c r="O38" s="267"/>
      <c r="P38" s="219"/>
      <c r="Q38" s="268"/>
      <c r="R38" s="216" t="str">
        <f ca="1">IF(ISERROR($V38),"",OFFSET('Smelter Look-up'!$C$4,$V38-4,0)&amp;"")</f>
        <v>Ohura Precious Metal Industry Co., Ltd.</v>
      </c>
      <c r="S38" s="224" t="str">
        <f t="shared" ca="1" si="0"/>
        <v>JP</v>
      </c>
      <c r="T38" s="224" t="str">
        <f ca="1">IF(B38="","",IF(ISERROR(MATCH($J38,SorP!$B$1:$B$6230,0)),"",INDIRECT("'SorP'!$A$"&amp;MATCH($J38,SorP!$B$1:$B$6230,0))))</f>
        <v>JP-29</v>
      </c>
      <c r="U38" s="239"/>
      <c r="V38" s="269">
        <f ca="1">IF(C38="",NA(),MATCH($B38&amp;$C38,'Smelter Look-up'!$J:$J,0))</f>
        <v>172</v>
      </c>
      <c r="W38" s="270"/>
      <c r="X38" s="270">
        <f t="shared" ca="1" si="1"/>
        <v>0</v>
      </c>
      <c r="Y38" s="270"/>
      <c r="Z38" s="270"/>
      <c r="AB38" s="272" t="str">
        <f t="shared" ca="1" si="2"/>
        <v>GoldOhura Precious Metal Industry Co., Ltd.</v>
      </c>
    </row>
    <row r="39" spans="1:28" s="271" customFormat="1" ht="25.5">
      <c r="A39" s="215" t="s">
        <v>810</v>
      </c>
      <c r="B39" s="216" t="str">
        <f ca="1">IF(LEN(A39)=0,"",INDEX('Smelter Look-up'!$A:$A,MATCH($A39,'Smelter Look-up'!$E:$E,0)))</f>
        <v>Gold</v>
      </c>
      <c r="C39" s="220" t="str">
        <f ca="1">IF(LEN(A39)=0,"",INDEX('Smelter Look-up'!$C:$C,MATCH($A39,'Smelter Look-up'!$E:$E,0)))</f>
        <v>PAMP S.A.</v>
      </c>
      <c r="D39" s="216"/>
      <c r="E39" s="216" t="str">
        <f ca="1">IF(ISERROR($V39),"",OFFSET('Smelter Look-up'!$D$4,$V39-4,0)&amp;"")</f>
        <v>SWITZERLAND</v>
      </c>
      <c r="F39" s="216" t="str">
        <f ca="1">IF(ISERROR($V39),"",OFFSET('Smelter Look-up'!$E$4,$V39-4,0))</f>
        <v>CID001352</v>
      </c>
      <c r="G39" s="216" t="str">
        <f ca="1">IF(C39=$X$4,"Enter smelter details", IF(ISERROR($V39),"",OFFSET('Smelter Look-up'!$F$4,$V39-4,0)))</f>
        <v>RMI</v>
      </c>
      <c r="H39" s="217">
        <f ca="1">IF(ISERROR($V39),"",OFFSET('Smelter Look-up'!$G$4,$V39-4,0))</f>
        <v>0</v>
      </c>
      <c r="I39" s="218" t="str">
        <f ca="1">IF(ISERROR($V39),"",OFFSET('Smelter Look-up'!$H$4,$V39-4,0))</f>
        <v>Castel San Pietro</v>
      </c>
      <c r="J39" s="218" t="str">
        <f ca="1">IF(ISERROR($V39),"",OFFSET('Smelter Look-up'!$I$4,$V39-4,0))</f>
        <v>Ticino</v>
      </c>
      <c r="K39" s="267"/>
      <c r="L39" s="267"/>
      <c r="M39" s="267"/>
      <c r="N39" s="267"/>
      <c r="O39" s="267"/>
      <c r="P39" s="219"/>
      <c r="Q39" s="268"/>
      <c r="R39" s="216" t="str">
        <f ca="1">IF(ISERROR($V39),"",OFFSET('Smelter Look-up'!$C$4,$V39-4,0)&amp;"")</f>
        <v>PAMP S.A.</v>
      </c>
      <c r="S39" s="224" t="str">
        <f t="shared" ca="1" si="0"/>
        <v>CH</v>
      </c>
      <c r="T39" s="224" t="str">
        <f ca="1">IF(B39="","",IF(ISERROR(MATCH($J39,SorP!$B$1:$B$6230,0)),"",INDIRECT("'SorP'!$A$"&amp;MATCH($J39,SorP!$B$1:$B$6230,0))))</f>
        <v>CH-TI</v>
      </c>
      <c r="U39" s="239"/>
      <c r="V39" s="269">
        <f ca="1">IF(C39="",NA(),MATCH($B39&amp;$C39,'Smelter Look-up'!$J:$J,0))</f>
        <v>176</v>
      </c>
      <c r="W39" s="270"/>
      <c r="X39" s="270">
        <f t="shared" ca="1" si="1"/>
        <v>0</v>
      </c>
      <c r="Y39" s="270"/>
      <c r="Z39" s="270"/>
      <c r="AB39" s="272" t="str">
        <f t="shared" ca="1" si="2"/>
        <v>GoldPAMP S.A.</v>
      </c>
    </row>
    <row r="40" spans="1:28" s="271" customFormat="1" ht="63.75">
      <c r="A40" s="215" t="s">
        <v>815</v>
      </c>
      <c r="B40" s="216" t="str">
        <f ca="1">IF(LEN(A40)=0,"",INDEX('Smelter Look-up'!$A:$A,MATCH($A40,'Smelter Look-up'!$E:$E,0)))</f>
        <v>Gold</v>
      </c>
      <c r="C40" s="220" t="str">
        <f ca="1">IF(LEN(A40)=0,"",INDEX('Smelter Look-up'!$C:$C,MATCH($A40,'Smelter Look-up'!$E:$E,0)))</f>
        <v>Rand Refinery (Pty) Ltd.</v>
      </c>
      <c r="D40" s="216"/>
      <c r="E40" s="216" t="str">
        <f ca="1">IF(ISERROR($V40),"",OFFSET('Smelter Look-up'!$D$4,$V40-4,0)&amp;"")</f>
        <v>SOUTH AFRICA</v>
      </c>
      <c r="F40" s="216" t="str">
        <f ca="1">IF(ISERROR($V40),"",OFFSET('Smelter Look-up'!$E$4,$V40-4,0))</f>
        <v>CID001512</v>
      </c>
      <c r="G40" s="216" t="str">
        <f ca="1">IF(C40=$X$4,"Enter smelter details", IF(ISERROR($V40),"",OFFSET('Smelter Look-up'!$F$4,$V40-4,0)))</f>
        <v>RMI</v>
      </c>
      <c r="H40" s="217">
        <f ca="1">IF(ISERROR($V40),"",OFFSET('Smelter Look-up'!$G$4,$V40-4,0))</f>
        <v>0</v>
      </c>
      <c r="I40" s="218" t="str">
        <f ca="1">IF(ISERROR($V40),"",OFFSET('Smelter Look-up'!$H$4,$V40-4,0))</f>
        <v>Germiston</v>
      </c>
      <c r="J40" s="218" t="str">
        <f ca="1">IF(ISERROR($V40),"",OFFSET('Smelter Look-up'!$I$4,$V40-4,0))</f>
        <v>Gauteng</v>
      </c>
      <c r="K40" s="267"/>
      <c r="L40" s="267"/>
      <c r="M40" s="267"/>
      <c r="N40" s="267"/>
      <c r="O40" s="267"/>
      <c r="P40" s="219"/>
      <c r="Q40" s="268"/>
      <c r="R40" s="216" t="str">
        <f ca="1">IF(ISERROR($V40),"",OFFSET('Smelter Look-up'!$C$4,$V40-4,0)&amp;"")</f>
        <v>Rand Refinery (Pty) Ltd.</v>
      </c>
      <c r="S40" s="224" t="str">
        <f t="shared" ca="1" si="0"/>
        <v>ZA</v>
      </c>
      <c r="T40" s="224" t="str">
        <f ca="1">IF(B40="","",IF(ISERROR(MATCH($J40,SorP!$B$1:$B$6230,0)),"",INDIRECT("'SorP'!$A$"&amp;MATCH($J40,SorP!$B$1:$B$6230,0))))</f>
        <v>ZA-GT</v>
      </c>
      <c r="U40" s="239"/>
      <c r="V40" s="269">
        <f ca="1">IF(C40="",NA(),MATCH($B40&amp;$C40,'Smelter Look-up'!$J:$J,0))</f>
        <v>189</v>
      </c>
      <c r="W40" s="270"/>
      <c r="X40" s="270">
        <f t="shared" ca="1" si="1"/>
        <v>0</v>
      </c>
      <c r="Y40" s="270"/>
      <c r="Z40" s="270"/>
      <c r="AB40" s="272" t="str">
        <f t="shared" ca="1" si="2"/>
        <v>GoldRand Refinery (Pty) Ltd.</v>
      </c>
    </row>
    <row r="41" spans="1:28" s="271" customFormat="1" ht="51">
      <c r="A41" s="215" t="s">
        <v>816</v>
      </c>
      <c r="B41" s="216" t="str">
        <f ca="1">IF(LEN(A41)=0,"",INDEX('Smelter Look-up'!$A:$A,MATCH($A41,'Smelter Look-up'!$E:$E,0)))</f>
        <v>Gold</v>
      </c>
      <c r="C41" s="220" t="str">
        <f ca="1">IF(LEN(A41)=0,"",INDEX('Smelter Look-up'!$C:$C,MATCH($A41,'Smelter Look-up'!$E:$E,0)))</f>
        <v>Royal Canadian Mint</v>
      </c>
      <c r="D41" s="216"/>
      <c r="E41" s="216" t="str">
        <f ca="1">IF(ISERROR($V41),"",OFFSET('Smelter Look-up'!$D$4,$V41-4,0)&amp;"")</f>
        <v>CANADA</v>
      </c>
      <c r="F41" s="216" t="str">
        <f ca="1">IF(ISERROR($V41),"",OFFSET('Smelter Look-up'!$E$4,$V41-4,0))</f>
        <v>CID001534</v>
      </c>
      <c r="G41" s="216" t="str">
        <f ca="1">IF(C41=$X$4,"Enter smelter details", IF(ISERROR($V41),"",OFFSET('Smelter Look-up'!$F$4,$V41-4,0)))</f>
        <v>RMI</v>
      </c>
      <c r="H41" s="217">
        <f ca="1">IF(ISERROR($V41),"",OFFSET('Smelter Look-up'!$G$4,$V41-4,0))</f>
        <v>0</v>
      </c>
      <c r="I41" s="218" t="str">
        <f ca="1">IF(ISERROR($V41),"",OFFSET('Smelter Look-up'!$H$4,$V41-4,0))</f>
        <v>Ottawa</v>
      </c>
      <c r="J41" s="218" t="str">
        <f ca="1">IF(ISERROR($V41),"",OFFSET('Smelter Look-up'!$I$4,$V41-4,0))</f>
        <v>Ontario</v>
      </c>
      <c r="K41" s="267"/>
      <c r="L41" s="267"/>
      <c r="M41" s="267"/>
      <c r="N41" s="267"/>
      <c r="O41" s="267"/>
      <c r="P41" s="219"/>
      <c r="Q41" s="268"/>
      <c r="R41" s="216" t="str">
        <f ca="1">IF(ISERROR($V41),"",OFFSET('Smelter Look-up'!$C$4,$V41-4,0)&amp;"")</f>
        <v>Royal Canadian Mint</v>
      </c>
      <c r="S41" s="224" t="str">
        <f t="shared" ca="1" si="0"/>
        <v>CA</v>
      </c>
      <c r="T41" s="224" t="str">
        <f ca="1">IF(B41="","",IF(ISERROR(MATCH($J41,SorP!$B$1:$B$6230,0)),"",INDIRECT("'SorP'!$A$"&amp;MATCH($J41,SorP!$B$1:$B$6230,0))))</f>
        <v>CA-ON</v>
      </c>
      <c r="U41" s="239"/>
      <c r="V41" s="269">
        <f ca="1">IF(C41="",NA(),MATCH($B41&amp;$C41,'Smelter Look-up'!$J:$J,0))</f>
        <v>194</v>
      </c>
      <c r="W41" s="270"/>
      <c r="X41" s="270">
        <f t="shared" ca="1" si="1"/>
        <v>0</v>
      </c>
      <c r="Y41" s="270"/>
      <c r="Z41" s="270"/>
      <c r="AB41" s="272" t="str">
        <f t="shared" ca="1" si="2"/>
        <v>GoldRoyal Canadian Mint</v>
      </c>
    </row>
    <row r="42" spans="1:28" s="271" customFormat="1" ht="102">
      <c r="A42" s="215" t="s">
        <v>820</v>
      </c>
      <c r="B42" s="216" t="str">
        <f ca="1">IF(LEN(A42)=0,"",INDEX('Smelter Look-up'!$A:$A,MATCH($A42,'Smelter Look-up'!$E:$E,0)))</f>
        <v>Gold</v>
      </c>
      <c r="C42" s="220" t="str">
        <f ca="1">IF(LEN(A42)=0,"",INDEX('Smelter Look-up'!$C:$C,MATCH($A42,'Smelter Look-up'!$E:$E,0)))</f>
        <v>Shandong Zhaojin Gold &amp; Silver Refinery Co., Ltd.</v>
      </c>
      <c r="D42" s="216"/>
      <c r="E42" s="216" t="str">
        <f ca="1">IF(ISERROR($V42),"",OFFSET('Smelter Look-up'!$D$4,$V42-4,0)&amp;"")</f>
        <v>CHINA</v>
      </c>
      <c r="F42" s="216" t="str">
        <f ca="1">IF(ISERROR($V42),"",OFFSET('Smelter Look-up'!$E$4,$V42-4,0))</f>
        <v>CID001622</v>
      </c>
      <c r="G42" s="216" t="str">
        <f ca="1">IF(C42=$X$4,"Enter smelter details", IF(ISERROR($V42),"",OFFSET('Smelter Look-up'!$F$4,$V42-4,0)))</f>
        <v>RMI</v>
      </c>
      <c r="H42" s="217">
        <f ca="1">IF(ISERROR($V42),"",OFFSET('Smelter Look-up'!$G$4,$V42-4,0))</f>
        <v>0</v>
      </c>
      <c r="I42" s="218" t="str">
        <f ca="1">IF(ISERROR($V42),"",OFFSET('Smelter Look-up'!$H$4,$V42-4,0))</f>
        <v>Zhaoyuan</v>
      </c>
      <c r="J42" s="218" t="str">
        <f ca="1">IF(ISERROR($V42),"",OFFSET('Smelter Look-up'!$I$4,$V42-4,0))</f>
        <v>Shandong Sheng</v>
      </c>
      <c r="K42" s="267"/>
      <c r="L42" s="267"/>
      <c r="M42" s="267"/>
      <c r="N42" s="267"/>
      <c r="O42" s="267"/>
      <c r="P42" s="219"/>
      <c r="Q42" s="268"/>
      <c r="R42" s="216" t="str">
        <f ca="1">IF(ISERROR($V42),"",OFFSET('Smelter Look-up'!$C$4,$V42-4,0)&amp;"")</f>
        <v>Shandong Zhaojin Gold &amp; Silver Refinery Co., Ltd.</v>
      </c>
      <c r="S42" s="224" t="str">
        <f t="shared" ca="1" si="0"/>
        <v>CN</v>
      </c>
      <c r="T42" s="224" t="str">
        <f ca="1">IF(B42="","",IF(ISERROR(MATCH($J42,SorP!$B$1:$B$6230,0)),"",INDIRECT("'SorP'!$A$"&amp;MATCH($J42,SorP!$B$1:$B$6230,0))))</f>
        <v>CN-SD</v>
      </c>
      <c r="U42" s="239"/>
      <c r="V42" s="269">
        <f ca="1">IF(C42="",NA(),MATCH($B42&amp;$C42,'Smelter Look-up'!$J:$J,0))</f>
        <v>215</v>
      </c>
      <c r="W42" s="270"/>
      <c r="X42" s="270">
        <f t="shared" ca="1" si="1"/>
        <v>0</v>
      </c>
      <c r="Y42" s="270"/>
      <c r="Z42" s="270"/>
      <c r="AB42" s="272" t="str">
        <f t="shared" ca="1" si="2"/>
        <v>GoldShandong Zhaojin Gold &amp; Silver Refinery Co., Ltd.</v>
      </c>
    </row>
    <row r="43" spans="1:28" s="271" customFormat="1" ht="76.5">
      <c r="A43" s="215" t="s">
        <v>823</v>
      </c>
      <c r="B43" s="216" t="str">
        <f ca="1">IF(LEN(A43)=0,"",INDEX('Smelter Look-up'!$A:$A,MATCH($A43,'Smelter Look-up'!$E:$E,0)))</f>
        <v>Gold</v>
      </c>
      <c r="C43" s="220" t="str">
        <f ca="1">IF(LEN(A43)=0,"",INDEX('Smelter Look-up'!$C:$C,MATCH($A43,'Smelter Look-up'!$E:$E,0)))</f>
        <v>Sumitomo Metal Mining Co., Ltd.</v>
      </c>
      <c r="D43" s="216"/>
      <c r="E43" s="216" t="str">
        <f ca="1">IF(ISERROR($V43),"",OFFSET('Smelter Look-up'!$D$4,$V43-4,0)&amp;"")</f>
        <v>JAPAN</v>
      </c>
      <c r="F43" s="216" t="str">
        <f ca="1">IF(ISERROR($V43),"",OFFSET('Smelter Look-up'!$E$4,$V43-4,0))</f>
        <v>CID001798</v>
      </c>
      <c r="G43" s="216" t="str">
        <f ca="1">IF(C43=$X$4,"Enter smelter details", IF(ISERROR($V43),"",OFFSET('Smelter Look-up'!$F$4,$V43-4,0)))</f>
        <v>RMI</v>
      </c>
      <c r="H43" s="217">
        <f ca="1">IF(ISERROR($V43),"",OFFSET('Smelter Look-up'!$G$4,$V43-4,0))</f>
        <v>0</v>
      </c>
      <c r="I43" s="218" t="str">
        <f ca="1">IF(ISERROR($V43),"",OFFSET('Smelter Look-up'!$H$4,$V43-4,0))</f>
        <v>Saijo</v>
      </c>
      <c r="J43" s="218" t="str">
        <f ca="1">IF(ISERROR($V43),"",OFFSET('Smelter Look-up'!$I$4,$V43-4,0))</f>
        <v>Ehime</v>
      </c>
      <c r="K43" s="267"/>
      <c r="L43" s="267"/>
      <c r="M43" s="267"/>
      <c r="N43" s="267"/>
      <c r="O43" s="267"/>
      <c r="P43" s="219"/>
      <c r="Q43" s="268"/>
      <c r="R43" s="216" t="str">
        <f ca="1">IF(ISERROR($V43),"",OFFSET('Smelter Look-up'!$C$4,$V43-4,0)&amp;"")</f>
        <v>Sumitomo Metal Mining Co., Ltd.</v>
      </c>
      <c r="S43" s="224" t="str">
        <f t="shared" ca="1" si="0"/>
        <v>JP</v>
      </c>
      <c r="T43" s="224" t="str">
        <f ca="1">IF(B43="","",IF(ISERROR(MATCH($J43,SorP!$B$1:$B$6230,0)),"",INDIRECT("'SorP'!$A$"&amp;MATCH($J43,SorP!$B$1:$B$6230,0))))</f>
        <v>JP-38</v>
      </c>
      <c r="U43" s="239"/>
      <c r="V43" s="269">
        <f ca="1">IF(C43="",NA(),MATCH($B43&amp;$C43,'Smelter Look-up'!$J:$J,0))</f>
        <v>231</v>
      </c>
      <c r="W43" s="270"/>
      <c r="X43" s="270">
        <f t="shared" ca="1" si="1"/>
        <v>0</v>
      </c>
      <c r="Y43" s="270"/>
      <c r="Z43" s="270"/>
      <c r="AB43" s="272" t="str">
        <f t="shared" ca="1" si="2"/>
        <v>GoldSumitomo Metal Mining Co., Ltd.</v>
      </c>
    </row>
    <row r="44" spans="1:28" s="271" customFormat="1" ht="63.75">
      <c r="A44" s="215" t="s">
        <v>824</v>
      </c>
      <c r="B44" s="216" t="str">
        <f ca="1">IF(LEN(A44)=0,"",INDEX('Smelter Look-up'!$A:$A,MATCH($A44,'Smelter Look-up'!$E:$E,0)))</f>
        <v>Gold</v>
      </c>
      <c r="C44" s="220" t="str">
        <f ca="1">IF(LEN(A44)=0,"",INDEX('Smelter Look-up'!$C:$C,MATCH($A44,'Smelter Look-up'!$E:$E,0)))</f>
        <v>Tanaka Kikinzoku Kogyo K.K.</v>
      </c>
      <c r="D44" s="216"/>
      <c r="E44" s="216" t="str">
        <f ca="1">IF(ISERROR($V44),"",OFFSET('Smelter Look-up'!$D$4,$V44-4,0)&amp;"")</f>
        <v>JAPAN</v>
      </c>
      <c r="F44" s="216" t="str">
        <f ca="1">IF(ISERROR($V44),"",OFFSET('Smelter Look-up'!$E$4,$V44-4,0))</f>
        <v>CID001875</v>
      </c>
      <c r="G44" s="216" t="str">
        <f ca="1">IF(C44=$X$4,"Enter smelter details", IF(ISERROR($V44),"",OFFSET('Smelter Look-up'!$F$4,$V44-4,0)))</f>
        <v>RMI</v>
      </c>
      <c r="H44" s="217">
        <f ca="1">IF(ISERROR($V44),"",OFFSET('Smelter Look-up'!$G$4,$V44-4,0))</f>
        <v>0</v>
      </c>
      <c r="I44" s="218" t="str">
        <f ca="1">IF(ISERROR($V44),"",OFFSET('Smelter Look-up'!$H$4,$V44-4,0))</f>
        <v>Hiratsuka</v>
      </c>
      <c r="J44" s="218" t="str">
        <f ca="1">IF(ISERROR($V44),"",OFFSET('Smelter Look-up'!$I$4,$V44-4,0))</f>
        <v>Kanagawa</v>
      </c>
      <c r="K44" s="267"/>
      <c r="L44" s="267"/>
      <c r="M44" s="267"/>
      <c r="N44" s="267"/>
      <c r="O44" s="267"/>
      <c r="P44" s="219"/>
      <c r="Q44" s="268"/>
      <c r="R44" s="216" t="str">
        <f ca="1">IF(ISERROR($V44),"",OFFSET('Smelter Look-up'!$C$4,$V44-4,0)&amp;"")</f>
        <v>Tanaka Kikinzoku Kogyo K.K.</v>
      </c>
      <c r="S44" s="224" t="str">
        <f t="shared" ca="1" si="0"/>
        <v>JP</v>
      </c>
      <c r="T44" s="224" t="str">
        <f ca="1">IF(B44="","",IF(ISERROR(MATCH($J44,SorP!$B$1:$B$6230,0)),"",INDIRECT("'SorP'!$A$"&amp;MATCH($J44,SorP!$B$1:$B$6230,0))))</f>
        <v>JP-14</v>
      </c>
      <c r="U44" s="239"/>
      <c r="V44" s="269">
        <f ca="1">IF(C44="",NA(),MATCH($B44&amp;$C44,'Smelter Look-up'!$J:$J,0))</f>
        <v>243</v>
      </c>
      <c r="W44" s="270"/>
      <c r="X44" s="270">
        <f t="shared" ca="1" si="1"/>
        <v>0</v>
      </c>
      <c r="Y44" s="270"/>
      <c r="Z44" s="270"/>
      <c r="AB44" s="272" t="str">
        <f t="shared" ca="1" si="2"/>
        <v>GoldTanaka Kikinzoku Kogyo K.K.</v>
      </c>
    </row>
    <row r="45" spans="1:28" s="271" customFormat="1" ht="102">
      <c r="A45" s="215" t="s">
        <v>826</v>
      </c>
      <c r="B45" s="216" t="str">
        <f ca="1">IF(LEN(A45)=0,"",INDEX('Smelter Look-up'!$A:$A,MATCH($A45,'Smelter Look-up'!$E:$E,0)))</f>
        <v>Gold</v>
      </c>
      <c r="C45" s="220" t="str">
        <f ca="1">IF(LEN(A45)=0,"",INDEX('Smelter Look-up'!$C:$C,MATCH($A45,'Smelter Look-up'!$E:$E,0)))</f>
        <v>The Refinery of Shandong Gold Mining Co., Ltd.</v>
      </c>
      <c r="D45" s="216"/>
      <c r="E45" s="216" t="str">
        <f ca="1">IF(ISERROR($V45),"",OFFSET('Smelter Look-up'!$D$4,$V45-4,0)&amp;"")</f>
        <v>CHINA</v>
      </c>
      <c r="F45" s="216" t="str">
        <f ca="1">IF(ISERROR($V45),"",OFFSET('Smelter Look-up'!$E$4,$V45-4,0))</f>
        <v>CID001916</v>
      </c>
      <c r="G45" s="216" t="str">
        <f ca="1">IF(C45=$X$4,"Enter smelter details", IF(ISERROR($V45),"",OFFSET('Smelter Look-up'!$F$4,$V45-4,0)))</f>
        <v>RMI</v>
      </c>
      <c r="H45" s="217">
        <f ca="1">IF(ISERROR($V45),"",OFFSET('Smelter Look-up'!$G$4,$V45-4,0))</f>
        <v>0</v>
      </c>
      <c r="I45" s="218" t="str">
        <f ca="1">IF(ISERROR($V45),"",OFFSET('Smelter Look-up'!$H$4,$V45-4,0))</f>
        <v>Laizhou</v>
      </c>
      <c r="J45" s="218" t="str">
        <f ca="1">IF(ISERROR($V45),"",OFFSET('Smelter Look-up'!$I$4,$V45-4,0))</f>
        <v>Shandong Sheng</v>
      </c>
      <c r="K45" s="267"/>
      <c r="L45" s="267"/>
      <c r="M45" s="267"/>
      <c r="N45" s="267"/>
      <c r="O45" s="267"/>
      <c r="P45" s="219"/>
      <c r="Q45" s="268"/>
      <c r="R45" s="216" t="str">
        <f ca="1">IF(ISERROR($V45),"",OFFSET('Smelter Look-up'!$C$4,$V45-4,0)&amp;"")</f>
        <v>The Refinery of Shandong Gold Mining Co., Ltd.</v>
      </c>
      <c r="S45" s="224" t="str">
        <f t="shared" ca="1" si="0"/>
        <v>CN</v>
      </c>
      <c r="T45" s="224" t="str">
        <f ca="1">IF(B45="","",IF(ISERROR(MATCH($J45,SorP!$B$1:$B$6230,0)),"",INDIRECT("'SorP'!$A$"&amp;MATCH($J45,SorP!$B$1:$B$6230,0))))</f>
        <v>CN-SD</v>
      </c>
      <c r="U45" s="239"/>
      <c r="V45" s="269">
        <f ca="1">IF(C45="",NA(),MATCH($B45&amp;$C45,'Smelter Look-up'!$J:$J,0))</f>
        <v>247</v>
      </c>
      <c r="W45" s="270"/>
      <c r="X45" s="270">
        <f t="shared" ca="1" si="1"/>
        <v>0</v>
      </c>
      <c r="Y45" s="270"/>
      <c r="Z45" s="270"/>
      <c r="AB45" s="272" t="str">
        <f t="shared" ca="1" si="2"/>
        <v>GoldThe Refinery of Shandong Gold Mining Co., Ltd.</v>
      </c>
    </row>
    <row r="46" spans="1:28" s="271" customFormat="1" ht="63.75">
      <c r="A46" s="215" t="s">
        <v>827</v>
      </c>
      <c r="B46" s="216" t="str">
        <f ca="1">IF(LEN(A46)=0,"",INDEX('Smelter Look-up'!$A:$A,MATCH($A46,'Smelter Look-up'!$E:$E,0)))</f>
        <v>Gold</v>
      </c>
      <c r="C46" s="220" t="str">
        <f ca="1">IF(LEN(A46)=0,"",INDEX('Smelter Look-up'!$C:$C,MATCH($A46,'Smelter Look-up'!$E:$E,0)))</f>
        <v>Tokuriki Honten Co., Ltd.</v>
      </c>
      <c r="D46" s="216"/>
      <c r="E46" s="216" t="str">
        <f ca="1">IF(ISERROR($V46),"",OFFSET('Smelter Look-up'!$D$4,$V46-4,0)&amp;"")</f>
        <v>JAPAN</v>
      </c>
      <c r="F46" s="216" t="str">
        <f ca="1">IF(ISERROR($V46),"",OFFSET('Smelter Look-up'!$E$4,$V46-4,0))</f>
        <v>CID001938</v>
      </c>
      <c r="G46" s="216" t="str">
        <f ca="1">IF(C46=$X$4,"Enter smelter details", IF(ISERROR($V46),"",OFFSET('Smelter Look-up'!$F$4,$V46-4,0)))</f>
        <v>RMI</v>
      </c>
      <c r="H46" s="217">
        <f ca="1">IF(ISERROR($V46),"",OFFSET('Smelter Look-up'!$G$4,$V46-4,0))</f>
        <v>0</v>
      </c>
      <c r="I46" s="218" t="str">
        <f ca="1">IF(ISERROR($V46),"",OFFSET('Smelter Look-up'!$H$4,$V46-4,0))</f>
        <v>Kuki</v>
      </c>
      <c r="J46" s="218" t="str">
        <f ca="1">IF(ISERROR($V46),"",OFFSET('Smelter Look-up'!$I$4,$V46-4,0))</f>
        <v>Saitama</v>
      </c>
      <c r="K46" s="267"/>
      <c r="L46" s="267"/>
      <c r="M46" s="267"/>
      <c r="N46" s="267"/>
      <c r="O46" s="267"/>
      <c r="P46" s="219"/>
      <c r="Q46" s="268"/>
      <c r="R46" s="216" t="str">
        <f ca="1">IF(ISERROR($V46),"",OFFSET('Smelter Look-up'!$C$4,$V46-4,0)&amp;"")</f>
        <v>Tokuriki Honten Co., Ltd.</v>
      </c>
      <c r="S46" s="224" t="str">
        <f t="shared" ca="1" si="0"/>
        <v>JP</v>
      </c>
      <c r="T46" s="224" t="str">
        <f ca="1">IF(B46="","",IF(ISERROR(MATCH($J46,SorP!$B$1:$B$6230,0)),"",INDIRECT("'SorP'!$A$"&amp;MATCH($J46,SorP!$B$1:$B$6230,0))))</f>
        <v>JP-11</v>
      </c>
      <c r="U46" s="239"/>
      <c r="V46" s="269">
        <f ca="1">IF(C46="",NA(),MATCH($B46&amp;$C46,'Smelter Look-up'!$J:$J,0))</f>
        <v>248</v>
      </c>
      <c r="W46" s="270"/>
      <c r="X46" s="270">
        <f t="shared" ca="1" si="1"/>
        <v>0</v>
      </c>
      <c r="Y46" s="270"/>
      <c r="Z46" s="270"/>
      <c r="AB46" s="272" t="str">
        <f t="shared" ca="1" si="2"/>
        <v>GoldTokuriki Honten Co., Ltd.</v>
      </c>
    </row>
    <row r="47" spans="1:28" s="271" customFormat="1" ht="102">
      <c r="A47" s="215" t="s">
        <v>831</v>
      </c>
      <c r="B47" s="216" t="str">
        <f ca="1">IF(LEN(A47)=0,"",INDEX('Smelter Look-up'!$A:$A,MATCH($A47,'Smelter Look-up'!$E:$E,0)))</f>
        <v>Gold</v>
      </c>
      <c r="C47" s="220" t="str">
        <f ca="1">IF(LEN(A47)=0,"",INDEX('Smelter Look-up'!$C:$C,MATCH($A47,'Smelter Look-up'!$E:$E,0)))</f>
        <v>Umicore S.A. Business Unit Precious Metals Refining</v>
      </c>
      <c r="D47" s="216"/>
      <c r="E47" s="216" t="str">
        <f ca="1">IF(ISERROR($V47),"",OFFSET('Smelter Look-up'!$D$4,$V47-4,0)&amp;"")</f>
        <v>BELGIUM</v>
      </c>
      <c r="F47" s="216" t="str">
        <f ca="1">IF(ISERROR($V47),"",OFFSET('Smelter Look-up'!$E$4,$V47-4,0))</f>
        <v>CID001980</v>
      </c>
      <c r="G47" s="216" t="str">
        <f ca="1">IF(C47=$X$4,"Enter smelter details", IF(ISERROR($V47),"",OFFSET('Smelter Look-up'!$F$4,$V47-4,0)))</f>
        <v>RMI</v>
      </c>
      <c r="H47" s="217">
        <f ca="1">IF(ISERROR($V47),"",OFFSET('Smelter Look-up'!$G$4,$V47-4,0))</f>
        <v>0</v>
      </c>
      <c r="I47" s="218" t="str">
        <f ca="1">IF(ISERROR($V47),"",OFFSET('Smelter Look-up'!$H$4,$V47-4,0))</f>
        <v>Hoboken</v>
      </c>
      <c r="J47" s="218" t="str">
        <f ca="1">IF(ISERROR($V47),"",OFFSET('Smelter Look-up'!$I$4,$V47-4,0))</f>
        <v>Antwerpen</v>
      </c>
      <c r="K47" s="267"/>
      <c r="L47" s="267"/>
      <c r="M47" s="267"/>
      <c r="N47" s="267"/>
      <c r="O47" s="267"/>
      <c r="P47" s="219"/>
      <c r="Q47" s="268"/>
      <c r="R47" s="216" t="str">
        <f ca="1">IF(ISERROR($V47),"",OFFSET('Smelter Look-up'!$C$4,$V47-4,0)&amp;"")</f>
        <v>Umicore S.A. Business Unit Precious Metals Refining</v>
      </c>
      <c r="S47" s="224" t="str">
        <f t="shared" ca="1" si="0"/>
        <v>BE</v>
      </c>
      <c r="T47" s="224" t="str">
        <f ca="1">IF(B47="","",IF(ISERROR(MATCH($J47,SorP!$B$1:$B$6230,0)),"",INDIRECT("'SorP'!$A$"&amp;MATCH($J47,SorP!$B$1:$B$6230,0))))</f>
        <v>BE-VAN</v>
      </c>
      <c r="U47" s="239"/>
      <c r="V47" s="269">
        <f ca="1">IF(C47="",NA(),MATCH($B47&amp;$C47,'Smelter Look-up'!$J:$J,0))</f>
        <v>258</v>
      </c>
      <c r="W47" s="270"/>
      <c r="X47" s="270">
        <f t="shared" ca="1" si="1"/>
        <v>0</v>
      </c>
      <c r="Y47" s="270"/>
      <c r="Z47" s="270"/>
      <c r="AB47" s="272" t="str">
        <f t="shared" ca="1" si="2"/>
        <v>GoldUmicore S.A. Business Unit Precious Metals Refining</v>
      </c>
    </row>
    <row r="48" spans="1:28" s="271" customFormat="1" ht="76.5">
      <c r="A48" s="215" t="s">
        <v>832</v>
      </c>
      <c r="B48" s="216" t="str">
        <f ca="1">IF(LEN(A48)=0,"",INDEX('Smelter Look-up'!$A:$A,MATCH($A48,'Smelter Look-up'!$E:$E,0)))</f>
        <v>Gold</v>
      </c>
      <c r="C48" s="220" t="str">
        <f ca="1">IF(LEN(A48)=0,"",INDEX('Smelter Look-up'!$C:$C,MATCH($A48,'Smelter Look-up'!$E:$E,0)))</f>
        <v>United Precious Metal Refining, Inc.</v>
      </c>
      <c r="D48" s="216"/>
      <c r="E48" s="216" t="str">
        <f ca="1">IF(ISERROR($V48),"",OFFSET('Smelter Look-up'!$D$4,$V48-4,0)&amp;"")</f>
        <v>UNITED STATES OF AMERICA</v>
      </c>
      <c r="F48" s="216" t="str">
        <f ca="1">IF(ISERROR($V48),"",OFFSET('Smelter Look-up'!$E$4,$V48-4,0))</f>
        <v>CID001993</v>
      </c>
      <c r="G48" s="216" t="str">
        <f ca="1">IF(C48=$X$4,"Enter smelter details", IF(ISERROR($V48),"",OFFSET('Smelter Look-up'!$F$4,$V48-4,0)))</f>
        <v>RMI</v>
      </c>
      <c r="H48" s="217">
        <f ca="1">IF(ISERROR($V48),"",OFFSET('Smelter Look-up'!$G$4,$V48-4,0))</f>
        <v>0</v>
      </c>
      <c r="I48" s="218" t="str">
        <f ca="1">IF(ISERROR($V48),"",OFFSET('Smelter Look-up'!$H$4,$V48-4,0))</f>
        <v>Alden</v>
      </c>
      <c r="J48" s="218" t="str">
        <f ca="1">IF(ISERROR($V48),"",OFFSET('Smelter Look-up'!$I$4,$V48-4,0))</f>
        <v>New York</v>
      </c>
      <c r="K48" s="267"/>
      <c r="L48" s="267"/>
      <c r="M48" s="267"/>
      <c r="N48" s="267"/>
      <c r="O48" s="267"/>
      <c r="P48" s="219"/>
      <c r="Q48" s="268"/>
      <c r="R48" s="216" t="str">
        <f ca="1">IF(ISERROR($V48),"",OFFSET('Smelter Look-up'!$C$4,$V48-4,0)&amp;"")</f>
        <v>United Precious Metal Refining, Inc.</v>
      </c>
      <c r="S48" s="224" t="str">
        <f t="shared" ca="1" si="0"/>
        <v>US</v>
      </c>
      <c r="T48" s="224" t="str">
        <f ca="1">IF(B48="","",IF(ISERROR(MATCH($J48,SorP!$B$1:$B$6230,0)),"",INDIRECT("'SorP'!$A$"&amp;MATCH($J48,SorP!$B$1:$B$6230,0))))</f>
        <v>US-NY</v>
      </c>
      <c r="U48" s="239"/>
      <c r="V48" s="269">
        <f ca="1">IF(C48="",NA(),MATCH($B48&amp;$C48,'Smelter Look-up'!$J:$J,0))</f>
        <v>259</v>
      </c>
      <c r="W48" s="270"/>
      <c r="X48" s="270">
        <f t="shared" ca="1" si="1"/>
        <v>0</v>
      </c>
      <c r="Y48" s="270"/>
      <c r="Z48" s="270"/>
      <c r="AB48" s="272" t="str">
        <f t="shared" ca="1" si="2"/>
        <v>GoldUnited Precious Metal Refining, Inc.</v>
      </c>
    </row>
    <row r="49" spans="1:28" s="271" customFormat="1" ht="38.25">
      <c r="A49" s="215" t="s">
        <v>833</v>
      </c>
      <c r="B49" s="216" t="str">
        <f ca="1">IF(LEN(A49)=0,"",INDEX('Smelter Look-up'!$A:$A,MATCH($A49,'Smelter Look-up'!$E:$E,0)))</f>
        <v>Gold</v>
      </c>
      <c r="C49" s="220" t="str">
        <f ca="1">IF(LEN(A49)=0,"",INDEX('Smelter Look-up'!$C:$C,MATCH($A49,'Smelter Look-up'!$E:$E,0)))</f>
        <v>Valcambi S.A.</v>
      </c>
      <c r="D49" s="216"/>
      <c r="E49" s="216" t="str">
        <f ca="1">IF(ISERROR($V49),"",OFFSET('Smelter Look-up'!$D$4,$V49-4,0)&amp;"")</f>
        <v>SWITZERLAND</v>
      </c>
      <c r="F49" s="216" t="str">
        <f ca="1">IF(ISERROR($V49),"",OFFSET('Smelter Look-up'!$E$4,$V49-4,0))</f>
        <v>CID002003</v>
      </c>
      <c r="G49" s="216" t="str">
        <f ca="1">IF(C49=$X$4,"Enter smelter details", IF(ISERROR($V49),"",OFFSET('Smelter Look-up'!$F$4,$V49-4,0)))</f>
        <v>RMI</v>
      </c>
      <c r="H49" s="217">
        <f ca="1">IF(ISERROR($V49),"",OFFSET('Smelter Look-up'!$G$4,$V49-4,0))</f>
        <v>0</v>
      </c>
      <c r="I49" s="218" t="str">
        <f ca="1">IF(ISERROR($V49),"",OFFSET('Smelter Look-up'!$H$4,$V49-4,0))</f>
        <v>Balerna</v>
      </c>
      <c r="J49" s="218" t="str">
        <f ca="1">IF(ISERROR($V49),"",OFFSET('Smelter Look-up'!$I$4,$V49-4,0))</f>
        <v>Ticino</v>
      </c>
      <c r="K49" s="267"/>
      <c r="L49" s="267"/>
      <c r="M49" s="267"/>
      <c r="N49" s="267"/>
      <c r="O49" s="267"/>
      <c r="P49" s="219"/>
      <c r="Q49" s="268"/>
      <c r="R49" s="216" t="str">
        <f ca="1">IF(ISERROR($V49),"",OFFSET('Smelter Look-up'!$C$4,$V49-4,0)&amp;"")</f>
        <v>Valcambi S.A.</v>
      </c>
      <c r="S49" s="224" t="str">
        <f t="shared" ca="1" si="0"/>
        <v>CH</v>
      </c>
      <c r="T49" s="224" t="str">
        <f ca="1">IF(B49="","",IF(ISERROR(MATCH($J49,SorP!$B$1:$B$6230,0)),"",INDIRECT("'SorP'!$A$"&amp;MATCH($J49,SorP!$B$1:$B$6230,0))))</f>
        <v>CH-TI</v>
      </c>
      <c r="U49" s="239"/>
      <c r="V49" s="269">
        <f ca="1">IF(C49="",NA(),MATCH($B49&amp;$C49,'Smelter Look-up'!$J:$J,0))</f>
        <v>261</v>
      </c>
      <c r="W49" s="270"/>
      <c r="X49" s="270">
        <f t="shared" ca="1" si="1"/>
        <v>0</v>
      </c>
      <c r="Y49" s="270"/>
      <c r="Z49" s="270"/>
      <c r="AB49" s="272" t="str">
        <f t="shared" ca="1" si="2"/>
        <v>GoldValcambi S.A.</v>
      </c>
    </row>
    <row r="50" spans="1:28" s="271" customFormat="1" ht="102">
      <c r="A50" s="215" t="s">
        <v>834</v>
      </c>
      <c r="B50" s="216" t="str">
        <f ca="1">IF(LEN(A50)=0,"",INDEX('Smelter Look-up'!$A:$A,MATCH($A50,'Smelter Look-up'!$E:$E,0)))</f>
        <v>Gold</v>
      </c>
      <c r="C50" s="220" t="str">
        <f ca="1">IF(LEN(A50)=0,"",INDEX('Smelter Look-up'!$C:$C,MATCH($A50,'Smelter Look-up'!$E:$E,0)))</f>
        <v>Western Australian Mint (T/a The Perth Mint)</v>
      </c>
      <c r="D50" s="216"/>
      <c r="E50" s="216" t="str">
        <f ca="1">IF(ISERROR($V50),"",OFFSET('Smelter Look-up'!$D$4,$V50-4,0)&amp;"")</f>
        <v>AUSTRALIA</v>
      </c>
      <c r="F50" s="216" t="str">
        <f ca="1">IF(ISERROR($V50),"",OFFSET('Smelter Look-up'!$E$4,$V50-4,0))</f>
        <v>CID002030</v>
      </c>
      <c r="G50" s="216" t="str">
        <f ca="1">IF(C50=$X$4,"Enter smelter details", IF(ISERROR($V50),"",OFFSET('Smelter Look-up'!$F$4,$V50-4,0)))</f>
        <v>RMI</v>
      </c>
      <c r="H50" s="217">
        <f ca="1">IF(ISERROR($V50),"",OFFSET('Smelter Look-up'!$G$4,$V50-4,0))</f>
        <v>0</v>
      </c>
      <c r="I50" s="218" t="str">
        <f ca="1">IF(ISERROR($V50),"",OFFSET('Smelter Look-up'!$H$4,$V50-4,0))</f>
        <v>Newburn</v>
      </c>
      <c r="J50" s="218" t="str">
        <f ca="1">IF(ISERROR($V50),"",OFFSET('Smelter Look-up'!$I$4,$V50-4,0))</f>
        <v>Western Australia</v>
      </c>
      <c r="K50" s="267"/>
      <c r="L50" s="267"/>
      <c r="M50" s="267"/>
      <c r="N50" s="267"/>
      <c r="O50" s="267"/>
      <c r="P50" s="219"/>
      <c r="Q50" s="268"/>
      <c r="R50" s="216" t="str">
        <f ca="1">IF(ISERROR($V50),"",OFFSET('Smelter Look-up'!$C$4,$V50-4,0)&amp;"")</f>
        <v>Western Australian Mint (T/a The Perth Mint)</v>
      </c>
      <c r="S50" s="224" t="str">
        <f t="shared" ca="1" si="0"/>
        <v>AU</v>
      </c>
      <c r="T50" s="224" t="str">
        <f ca="1">IF(B50="","",IF(ISERROR(MATCH($J50,SorP!$B$1:$B$6230,0)),"",INDIRECT("'SorP'!$A$"&amp;MATCH($J50,SorP!$B$1:$B$6230,0))))</f>
        <v>AU-WA</v>
      </c>
      <c r="U50" s="239"/>
      <c r="V50" s="269">
        <f ca="1">IF(C50="",NA(),MATCH($B50&amp;$C50,'Smelter Look-up'!$J:$J,0))</f>
        <v>262</v>
      </c>
      <c r="W50" s="270"/>
      <c r="X50" s="270">
        <f t="shared" ca="1" si="1"/>
        <v>0</v>
      </c>
      <c r="Y50" s="270"/>
      <c r="Z50" s="270"/>
      <c r="AB50" s="272" t="str">
        <f t="shared" ca="1" si="2"/>
        <v>GoldWestern Australian Mint (T/a The Perth Mint)</v>
      </c>
    </row>
    <row r="51" spans="1:28" s="271" customFormat="1" ht="89.25">
      <c r="A51" s="215" t="s">
        <v>839</v>
      </c>
      <c r="B51" s="216" t="str">
        <f ca="1">IF(LEN(A51)=0,"",INDEX('Smelter Look-up'!$A:$A,MATCH($A51,'Smelter Look-up'!$E:$E,0)))</f>
        <v>Gold</v>
      </c>
      <c r="C51" s="220" t="str">
        <f ca="1">IF(LEN(A51)=0,"",INDEX('Smelter Look-up'!$C:$C,MATCH($A51,'Smelter Look-up'!$E:$E,0)))</f>
        <v>Gold Refinery of Zijin Mining Group Co., Ltd.</v>
      </c>
      <c r="D51" s="216"/>
      <c r="E51" s="216" t="str">
        <f ca="1">IF(ISERROR($V51),"",OFFSET('Smelter Look-up'!$D$4,$V51-4,0)&amp;"")</f>
        <v>CHINA</v>
      </c>
      <c r="F51" s="216" t="str">
        <f ca="1">IF(ISERROR($V51),"",OFFSET('Smelter Look-up'!$E$4,$V51-4,0))</f>
        <v>CID002243</v>
      </c>
      <c r="G51" s="216" t="str">
        <f ca="1">IF(C51=$X$4,"Enter smelter details", IF(ISERROR($V51),"",OFFSET('Smelter Look-up'!$F$4,$V51-4,0)))</f>
        <v>RMI</v>
      </c>
      <c r="H51" s="217">
        <f ca="1">IF(ISERROR($V51),"",OFFSET('Smelter Look-up'!$G$4,$V51-4,0))</f>
        <v>0</v>
      </c>
      <c r="I51" s="218" t="str">
        <f ca="1">IF(ISERROR($V51),"",OFFSET('Smelter Look-up'!$H$4,$V51-4,0))</f>
        <v>Shanghang</v>
      </c>
      <c r="J51" s="218" t="str">
        <f ca="1">IF(ISERROR($V51),"",OFFSET('Smelter Look-up'!$I$4,$V51-4,0))</f>
        <v>Fujian Sheng</v>
      </c>
      <c r="K51" s="267"/>
      <c r="L51" s="267"/>
      <c r="M51" s="267"/>
      <c r="N51" s="267"/>
      <c r="O51" s="267"/>
      <c r="P51" s="219"/>
      <c r="Q51" s="268"/>
      <c r="R51" s="216" t="str">
        <f ca="1">IF(ISERROR($V51),"",OFFSET('Smelter Look-up'!$C$4,$V51-4,0)&amp;"")</f>
        <v>Gold Refinery of Zijin Mining Group Co., Ltd.</v>
      </c>
      <c r="S51" s="224" t="str">
        <f t="shared" ca="1" si="0"/>
        <v>CN</v>
      </c>
      <c r="T51" s="224" t="str">
        <f ca="1">IF(B51="","",IF(ISERROR(MATCH($J51,SorP!$B$1:$B$6230,0)),"",INDIRECT("'SorP'!$A$"&amp;MATCH($J51,SorP!$B$1:$B$6230,0))))</f>
        <v>CN-FJ</v>
      </c>
      <c r="U51" s="239"/>
      <c r="V51" s="269">
        <f ca="1">IF(C51="",NA(),MATCH($B51&amp;$C51,'Smelter Look-up'!$J:$J,0))</f>
        <v>77</v>
      </c>
      <c r="W51" s="270"/>
      <c r="X51" s="270">
        <f t="shared" ca="1" si="1"/>
        <v>0</v>
      </c>
      <c r="Y51" s="270"/>
      <c r="Z51" s="270"/>
      <c r="AB51" s="272" t="str">
        <f t="shared" ca="1" si="2"/>
        <v>GoldGold Refinery of Zijin Mining Group Co., Ltd.</v>
      </c>
    </row>
    <row r="52" spans="1:28" s="271" customFormat="1" ht="63.75">
      <c r="A52" s="215" t="s">
        <v>2636</v>
      </c>
      <c r="B52" s="216" t="str">
        <f ca="1">IF(LEN(A52)=0,"",INDEX('Smelter Look-up'!$A:$A,MATCH($A52,'Smelter Look-up'!$E:$E,0)))</f>
        <v>Gold</v>
      </c>
      <c r="C52" s="220" t="str">
        <f ca="1">IF(LEN(A52)=0,"",INDEX('Smelter Look-up'!$C:$C,MATCH($A52,'Smelter Look-up'!$E:$E,0)))</f>
        <v>WIELAND Edelmetalle GmbH</v>
      </c>
      <c r="D52" s="216"/>
      <c r="E52" s="216" t="str">
        <f ca="1">IF(ISERROR($V52),"",OFFSET('Smelter Look-up'!$D$4,$V52-4,0)&amp;"")</f>
        <v>GERMANY</v>
      </c>
      <c r="F52" s="216" t="str">
        <f ca="1">IF(ISERROR($V52),"",OFFSET('Smelter Look-up'!$E$4,$V52-4,0))</f>
        <v>CID002778</v>
      </c>
      <c r="G52" s="216" t="str">
        <f ca="1">IF(C52=$X$4,"Enter smelter details", IF(ISERROR($V52),"",OFFSET('Smelter Look-up'!$F$4,$V52-4,0)))</f>
        <v>RMI</v>
      </c>
      <c r="H52" s="217">
        <f ca="1">IF(ISERROR($V52),"",OFFSET('Smelter Look-up'!$G$4,$V52-4,0))</f>
        <v>0</v>
      </c>
      <c r="I52" s="218" t="str">
        <f ca="1">IF(ISERROR($V52),"",OFFSET('Smelter Look-up'!$H$4,$V52-4,0))</f>
        <v>Pforzheim</v>
      </c>
      <c r="J52" s="218" t="str">
        <f ca="1">IF(ISERROR($V52),"",OFFSET('Smelter Look-up'!$I$4,$V52-4,0))</f>
        <v>Baden-Württemberg</v>
      </c>
      <c r="K52" s="267"/>
      <c r="L52" s="267"/>
      <c r="M52" s="267"/>
      <c r="N52" s="267"/>
      <c r="O52" s="267"/>
      <c r="P52" s="219"/>
      <c r="Q52" s="268"/>
      <c r="R52" s="216" t="str">
        <f ca="1">IF(ISERROR($V52),"",OFFSET('Smelter Look-up'!$C$4,$V52-4,0)&amp;"")</f>
        <v>WIELAND Edelmetalle GmbH</v>
      </c>
      <c r="S52" s="224" t="str">
        <f t="shared" ca="1" si="0"/>
        <v>DE</v>
      </c>
      <c r="T52" s="224" t="str">
        <f ca="1">IF(B52="","",IF(ISERROR(MATCH($J52,SorP!$B$1:$B$6230,0)),"",INDIRECT("'SorP'!$A$"&amp;MATCH($J52,SorP!$B$1:$B$6230,0))))</f>
        <v>DE-BW</v>
      </c>
      <c r="U52" s="239"/>
      <c r="V52" s="269">
        <f ca="1">IF(C52="",NA(),MATCH($B52&amp;$C52,'Smelter Look-up'!$J:$J,0))</f>
        <v>263</v>
      </c>
      <c r="W52" s="270"/>
      <c r="X52" s="270">
        <f t="shared" ca="1" si="1"/>
        <v>0</v>
      </c>
      <c r="Y52" s="270"/>
      <c r="Z52" s="270"/>
      <c r="AB52" s="272" t="str">
        <f t="shared" ca="1" si="2"/>
        <v>GoldWIELAND Edelmetalle GmbH</v>
      </c>
    </row>
    <row r="53" spans="1:28" s="271" customFormat="1" ht="114.75">
      <c r="A53" s="215" t="s">
        <v>840</v>
      </c>
      <c r="B53" s="216" t="str">
        <f ca="1">IF(LEN(A53)=0,"",INDEX('Smelter Look-up'!$A:$A,MATCH($A53,'Smelter Look-up'!$E:$E,0)))</f>
        <v>Tantalum</v>
      </c>
      <c r="C53" s="220" t="str">
        <f ca="1">IF(LEN(A53)=0,"",INDEX('Smelter Look-up'!$C:$C,MATCH($A53,'Smelter Look-up'!$E:$E,0)))</f>
        <v>Changsha South Tantalum Niobium Co., Ltd.</v>
      </c>
      <c r="D53" s="216"/>
      <c r="E53" s="216" t="str">
        <f ca="1">IF(ISERROR($V53),"",OFFSET('Smelter Look-up'!$D$4,$V53-4,0)&amp;"")</f>
        <v>CHINA</v>
      </c>
      <c r="F53" s="216" t="str">
        <f ca="1">IF(ISERROR($V53),"",OFFSET('Smelter Look-up'!$E$4,$V53-4,0))</f>
        <v>CID000211</v>
      </c>
      <c r="G53" s="216" t="str">
        <f ca="1">IF(C53=$X$4,"Enter smelter details", IF(ISERROR($V53),"",OFFSET('Smelter Look-up'!$F$4,$V53-4,0)))</f>
        <v>RMI</v>
      </c>
      <c r="H53" s="217">
        <f ca="1">IF(ISERROR($V53),"",OFFSET('Smelter Look-up'!$G$4,$V53-4,0))</f>
        <v>0</v>
      </c>
      <c r="I53" s="218" t="str">
        <f ca="1">IF(ISERROR($V53),"",OFFSET('Smelter Look-up'!$H$4,$V53-4,0))</f>
        <v>Changsha</v>
      </c>
      <c r="J53" s="218" t="str">
        <f ca="1">IF(ISERROR($V53),"",OFFSET('Smelter Look-up'!$I$4,$V53-4,0))</f>
        <v>Hunan Sheng</v>
      </c>
      <c r="K53" s="267"/>
      <c r="L53" s="267"/>
      <c r="M53" s="267"/>
      <c r="N53" s="267"/>
      <c r="O53" s="267"/>
      <c r="P53" s="219"/>
      <c r="Q53" s="268"/>
      <c r="R53" s="216" t="str">
        <f ca="1">IF(ISERROR($V53),"",OFFSET('Smelter Look-up'!$C$4,$V53-4,0)&amp;"")</f>
        <v>Changsha South Tantalum Niobium Co., Ltd.</v>
      </c>
      <c r="S53" s="224" t="str">
        <f t="shared" ca="1" si="0"/>
        <v>CN</v>
      </c>
      <c r="T53" s="224" t="str">
        <f ca="1">IF(B53="","",IF(ISERROR(MATCH($J53,SorP!$B$1:$B$6230,0)),"",INDIRECT("'SorP'!$A$"&amp;MATCH($J53,SorP!$B$1:$B$6230,0))))</f>
        <v>CN-HN</v>
      </c>
      <c r="U53" s="239"/>
      <c r="V53" s="269">
        <f ca="1">IF(C53="",NA(),MATCH($B53&amp;$C53,'Smelter Look-up'!$J:$J,0))</f>
        <v>287</v>
      </c>
      <c r="W53" s="270"/>
      <c r="X53" s="270">
        <f t="shared" ca="1" si="1"/>
        <v>0</v>
      </c>
      <c r="Y53" s="270"/>
      <c r="Z53" s="270"/>
      <c r="AB53" s="272" t="str">
        <f t="shared" ca="1" si="2"/>
        <v>TantalumChangsha South Tantalum Niobium Co., Ltd.</v>
      </c>
    </row>
    <row r="54" spans="1:28" s="271" customFormat="1" ht="114.75">
      <c r="A54" s="215" t="s">
        <v>841</v>
      </c>
      <c r="B54" s="216" t="str">
        <f ca="1">IF(LEN(A54)=0,"",INDEX('Smelter Look-up'!$A:$A,MATCH($A54,'Smelter Look-up'!$E:$E,0)))</f>
        <v>Tantalum</v>
      </c>
      <c r="C54" s="220" t="str">
        <f ca="1">IF(LEN(A54)=0,"",INDEX('Smelter Look-up'!$C:$C,MATCH($A54,'Smelter Look-up'!$E:$E,0)))</f>
        <v>Guangdong Rising Rare Metals-EO Materials Ltd.</v>
      </c>
      <c r="D54" s="216"/>
      <c r="E54" s="216" t="str">
        <f ca="1">IF(ISERROR($V54),"",OFFSET('Smelter Look-up'!$D$4,$V54-4,0)&amp;"")</f>
        <v>CHINA</v>
      </c>
      <c r="F54" s="216" t="str">
        <f ca="1">IF(ISERROR($V54),"",OFFSET('Smelter Look-up'!$E$4,$V54-4,0))</f>
        <v>CID000291</v>
      </c>
      <c r="G54" s="216" t="str">
        <f ca="1">IF(C54=$X$4,"Enter smelter details", IF(ISERROR($V54),"",OFFSET('Smelter Look-up'!$F$4,$V54-4,0)))</f>
        <v>RMI</v>
      </c>
      <c r="H54" s="217">
        <f ca="1">IF(ISERROR($V54),"",OFFSET('Smelter Look-up'!$G$4,$V54-4,0))</f>
        <v>0</v>
      </c>
      <c r="I54" s="218" t="str">
        <f ca="1">IF(ISERROR($V54),"",OFFSET('Smelter Look-up'!$H$4,$V54-4,0))</f>
        <v>Conghua</v>
      </c>
      <c r="J54" s="218" t="str">
        <f ca="1">IF(ISERROR($V54),"",OFFSET('Smelter Look-up'!$I$4,$V54-4,0))</f>
        <v>Guangdong Sheng</v>
      </c>
      <c r="K54" s="267"/>
      <c r="L54" s="267"/>
      <c r="M54" s="267"/>
      <c r="N54" s="267"/>
      <c r="O54" s="267"/>
      <c r="P54" s="219"/>
      <c r="Q54" s="268"/>
      <c r="R54" s="216" t="str">
        <f ca="1">IF(ISERROR($V54),"",OFFSET('Smelter Look-up'!$C$4,$V54-4,0)&amp;"")</f>
        <v>Guangdong Rising Rare Metals-EO Materials Ltd.</v>
      </c>
      <c r="S54" s="224" t="str">
        <f t="shared" ca="1" si="0"/>
        <v>CN</v>
      </c>
      <c r="T54" s="224" t="str">
        <f ca="1">IF(B54="","",IF(ISERROR(MATCH($J54,SorP!$B$1:$B$6230,0)),"",INDIRECT("'SorP'!$A$"&amp;MATCH($J54,SorP!$B$1:$B$6230,0))))</f>
        <v>CN-GD</v>
      </c>
      <c r="U54" s="239"/>
      <c r="V54" s="269">
        <f ca="1">IF(C54="",NA(),MATCH($B54&amp;$C54,'Smelter Look-up'!$J:$J,0))</f>
        <v>298</v>
      </c>
      <c r="W54" s="270"/>
      <c r="X54" s="270">
        <f t="shared" ca="1" si="1"/>
        <v>0</v>
      </c>
      <c r="Y54" s="270"/>
      <c r="Z54" s="270"/>
      <c r="AB54" s="272" t="str">
        <f t="shared" ca="1" si="2"/>
        <v>TantalumGuangdong Rising Rare Metals-EO Materials Ltd.</v>
      </c>
    </row>
    <row r="55" spans="1:28" s="271" customFormat="1" ht="38.25">
      <c r="A55" s="215" t="s">
        <v>842</v>
      </c>
      <c r="B55" s="216" t="str">
        <f ca="1">IF(LEN(A55)=0,"",INDEX('Smelter Look-up'!$A:$A,MATCH($A55,'Smelter Look-up'!$E:$E,0)))</f>
        <v>Tantalum</v>
      </c>
      <c r="C55" s="220" t="str">
        <f ca="1">IF(LEN(A55)=0,"",INDEX('Smelter Look-up'!$C:$C,MATCH($A55,'Smelter Look-up'!$E:$E,0)))</f>
        <v>Exotech Inc.</v>
      </c>
      <c r="D55" s="216"/>
      <c r="E55" s="216" t="str">
        <f ca="1">IF(ISERROR($V55),"",OFFSET('Smelter Look-up'!$D$4,$V55-4,0)&amp;"")</f>
        <v>UNITED STATES OF AMERICA</v>
      </c>
      <c r="F55" s="216" t="str">
        <f ca="1">IF(ISERROR($V55),"",OFFSET('Smelter Look-up'!$E$4,$V55-4,0))</f>
        <v>CID000456</v>
      </c>
      <c r="G55" s="216" t="str">
        <f ca="1">IF(C55=$X$4,"Enter smelter details", IF(ISERROR($V55),"",OFFSET('Smelter Look-up'!$F$4,$V55-4,0)))</f>
        <v>RMI</v>
      </c>
      <c r="H55" s="217">
        <f ca="1">IF(ISERROR($V55),"",OFFSET('Smelter Look-up'!$G$4,$V55-4,0))</f>
        <v>0</v>
      </c>
      <c r="I55" s="218" t="str">
        <f ca="1">IF(ISERROR($V55),"",OFFSET('Smelter Look-up'!$H$4,$V55-4,0))</f>
        <v>Pompano Beach</v>
      </c>
      <c r="J55" s="218" t="str">
        <f ca="1">IF(ISERROR($V55),"",OFFSET('Smelter Look-up'!$I$4,$V55-4,0))</f>
        <v>Florida</v>
      </c>
      <c r="K55" s="267"/>
      <c r="L55" s="267"/>
      <c r="M55" s="267"/>
      <c r="N55" s="267"/>
      <c r="O55" s="267"/>
      <c r="P55" s="219"/>
      <c r="Q55" s="268"/>
      <c r="R55" s="216" t="str">
        <f ca="1">IF(ISERROR($V55),"",OFFSET('Smelter Look-up'!$C$4,$V55-4,0)&amp;"")</f>
        <v>Exotech Inc.</v>
      </c>
      <c r="S55" s="224" t="str">
        <f t="shared" ca="1" si="0"/>
        <v>US</v>
      </c>
      <c r="T55" s="224" t="str">
        <f ca="1">IF(B55="","",IF(ISERROR(MATCH($J55,SorP!$B$1:$B$6230,0)),"",INDIRECT("'SorP'!$A$"&amp;MATCH($J55,SorP!$B$1:$B$6230,0))))</f>
        <v>US-FL</v>
      </c>
      <c r="U55" s="239"/>
      <c r="V55" s="269">
        <f ca="1">IF(C55="",NA(),MATCH($B55&amp;$C55,'Smelter Look-up'!$J:$J,0))</f>
        <v>292</v>
      </c>
      <c r="W55" s="270"/>
      <c r="X55" s="270">
        <f t="shared" ca="1" si="1"/>
        <v>0</v>
      </c>
      <c r="Y55" s="270"/>
      <c r="Z55" s="270"/>
      <c r="AB55" s="272" t="str">
        <f t="shared" ca="1" si="2"/>
        <v>TantalumExotech Inc.</v>
      </c>
    </row>
    <row r="56" spans="1:28" s="271" customFormat="1" ht="63.75">
      <c r="A56" s="215" t="s">
        <v>843</v>
      </c>
      <c r="B56" s="216" t="str">
        <f ca="1">IF(LEN(A56)=0,"",INDEX('Smelter Look-up'!$A:$A,MATCH($A56,'Smelter Look-up'!$E:$E,0)))</f>
        <v>Tantalum</v>
      </c>
      <c r="C56" s="220" t="str">
        <f ca="1">IF(LEN(A56)=0,"",INDEX('Smelter Look-up'!$C:$C,MATCH($A56,'Smelter Look-up'!$E:$E,0)))</f>
        <v>F&amp;X Electro-Materials Ltd.</v>
      </c>
      <c r="D56" s="216"/>
      <c r="E56" s="216" t="str">
        <f ca="1">IF(ISERROR($V56),"",OFFSET('Smelter Look-up'!$D$4,$V56-4,0)&amp;"")</f>
        <v>CHINA</v>
      </c>
      <c r="F56" s="216" t="str">
        <f ca="1">IF(ISERROR($V56),"",OFFSET('Smelter Look-up'!$E$4,$V56-4,0))</f>
        <v>CID000460</v>
      </c>
      <c r="G56" s="216" t="str">
        <f ca="1">IF(C56=$X$4,"Enter smelter details", IF(ISERROR($V56),"",OFFSET('Smelter Look-up'!$F$4,$V56-4,0)))</f>
        <v>RMI</v>
      </c>
      <c r="H56" s="217">
        <f ca="1">IF(ISERROR($V56),"",OFFSET('Smelter Look-up'!$G$4,$V56-4,0))</f>
        <v>0</v>
      </c>
      <c r="I56" s="218" t="str">
        <f ca="1">IF(ISERROR($V56),"",OFFSET('Smelter Look-up'!$H$4,$V56-4,0))</f>
        <v>Jiangmen</v>
      </c>
      <c r="J56" s="218" t="str">
        <f ca="1">IF(ISERROR($V56),"",OFFSET('Smelter Look-up'!$I$4,$V56-4,0))</f>
        <v>Guangdong Sheng</v>
      </c>
      <c r="K56" s="267"/>
      <c r="L56" s="267"/>
      <c r="M56" s="267"/>
      <c r="N56" s="267"/>
      <c r="O56" s="267"/>
      <c r="P56" s="219"/>
      <c r="Q56" s="268"/>
      <c r="R56" s="216" t="str">
        <f ca="1">IF(ISERROR($V56),"",OFFSET('Smelter Look-up'!$C$4,$V56-4,0)&amp;"")</f>
        <v>F&amp;X Electro-Materials Ltd.</v>
      </c>
      <c r="S56" s="224" t="str">
        <f t="shared" ca="1" si="0"/>
        <v>CN</v>
      </c>
      <c r="T56" s="224" t="str">
        <f ca="1">IF(B56="","",IF(ISERROR(MATCH($J56,SorP!$B$1:$B$6230,0)),"",INDIRECT("'SorP'!$A$"&amp;MATCH($J56,SorP!$B$1:$B$6230,0))))</f>
        <v>CN-GD</v>
      </c>
      <c r="U56" s="239"/>
      <c r="V56" s="269">
        <f ca="1">IF(C56="",NA(),MATCH($B56&amp;$C56,'Smelter Look-up'!$J:$J,0))</f>
        <v>294</v>
      </c>
      <c r="W56" s="270"/>
      <c r="X56" s="270">
        <f t="shared" ca="1" si="1"/>
        <v>0</v>
      </c>
      <c r="Y56" s="270"/>
      <c r="Z56" s="270"/>
      <c r="AB56" s="272" t="str">
        <f t="shared" ca="1" si="2"/>
        <v>TantalumF&amp;X Electro-Materials Ltd.</v>
      </c>
    </row>
    <row r="57" spans="1:28" s="271" customFormat="1" ht="102">
      <c r="A57" s="215" t="s">
        <v>846</v>
      </c>
      <c r="B57" s="216" t="str">
        <f ca="1">IF(LEN(A57)=0,"",INDEX('Smelter Look-up'!$A:$A,MATCH($A57,'Smelter Look-up'!$E:$E,0)))</f>
        <v>Tantalum</v>
      </c>
      <c r="C57" s="220" t="str">
        <f ca="1">IF(LEN(A57)=0,"",INDEX('Smelter Look-up'!$C:$C,MATCH($A57,'Smelter Look-up'!$E:$E,0)))</f>
        <v>JiuJiang JinXin Nonferrous Metals Co., Ltd.</v>
      </c>
      <c r="D57" s="216"/>
      <c r="E57" s="216" t="str">
        <f ca="1">IF(ISERROR($V57),"",OFFSET('Smelter Look-up'!$D$4,$V57-4,0)&amp;"")</f>
        <v>CHINA</v>
      </c>
      <c r="F57" s="216" t="str">
        <f ca="1">IF(ISERROR($V57),"",OFFSET('Smelter Look-up'!$E$4,$V57-4,0))</f>
        <v>CID000914</v>
      </c>
      <c r="G57" s="216" t="str">
        <f ca="1">IF(C57=$X$4,"Enter smelter details", IF(ISERROR($V57),"",OFFSET('Smelter Look-up'!$F$4,$V57-4,0)))</f>
        <v>RMI</v>
      </c>
      <c r="H57" s="217">
        <f ca="1">IF(ISERROR($V57),"",OFFSET('Smelter Look-up'!$G$4,$V57-4,0))</f>
        <v>0</v>
      </c>
      <c r="I57" s="218" t="str">
        <f ca="1">IF(ISERROR($V57),"",OFFSET('Smelter Look-up'!$H$4,$V57-4,0))</f>
        <v>Jiujiang</v>
      </c>
      <c r="J57" s="218" t="str">
        <f ca="1">IF(ISERROR($V57),"",OFFSET('Smelter Look-up'!$I$4,$V57-4,0))</f>
        <v>Jiangxi Sheng</v>
      </c>
      <c r="K57" s="267"/>
      <c r="L57" s="267"/>
      <c r="M57" s="267"/>
      <c r="N57" s="267"/>
      <c r="O57" s="267"/>
      <c r="P57" s="219"/>
      <c r="Q57" s="268"/>
      <c r="R57" s="216" t="str">
        <f ca="1">IF(ISERROR($V57),"",OFFSET('Smelter Look-up'!$C$4,$V57-4,0)&amp;"")</f>
        <v>JiuJiang JinXin Nonferrous Metals Co., Ltd.</v>
      </c>
      <c r="S57" s="224" t="str">
        <f t="shared" ca="1" si="0"/>
        <v>CN</v>
      </c>
      <c r="T57" s="224" t="str">
        <f ca="1">IF(B57="","",IF(ISERROR(MATCH($J57,SorP!$B$1:$B$6230,0)),"",INDIRECT("'SorP'!$A$"&amp;MATCH($J57,SorP!$B$1:$B$6230,0))))</f>
        <v>CN-JX</v>
      </c>
      <c r="U57" s="239"/>
      <c r="V57" s="269">
        <f ca="1">IF(C57="",NA(),MATCH($B57&amp;$C57,'Smelter Look-up'!$J:$J,0))</f>
        <v>310</v>
      </c>
      <c r="W57" s="270"/>
      <c r="X57" s="270">
        <f t="shared" ca="1" si="1"/>
        <v>0</v>
      </c>
      <c r="Y57" s="270"/>
      <c r="Z57" s="270"/>
      <c r="AB57" s="272" t="str">
        <f t="shared" ca="1" si="2"/>
        <v>TantalumJiuJiang JinXin Nonferrous Metals Co., Ltd.</v>
      </c>
    </row>
    <row r="58" spans="1:28" s="271" customFormat="1" ht="76.5">
      <c r="A58" s="215" t="s">
        <v>847</v>
      </c>
      <c r="B58" s="216" t="str">
        <f ca="1">IF(LEN(A58)=0,"",INDEX('Smelter Look-up'!$A:$A,MATCH($A58,'Smelter Look-up'!$E:$E,0)))</f>
        <v>Tantalum</v>
      </c>
      <c r="C58" s="220" t="str">
        <f ca="1">IF(LEN(A58)=0,"",INDEX('Smelter Look-up'!$C:$C,MATCH($A58,'Smelter Look-up'!$E:$E,0)))</f>
        <v>Jiujiang Tanbre Co., Ltd.</v>
      </c>
      <c r="D58" s="216"/>
      <c r="E58" s="216" t="str">
        <f ca="1">IF(ISERROR($V58),"",OFFSET('Smelter Look-up'!$D$4,$V58-4,0)&amp;"")</f>
        <v>CHINA</v>
      </c>
      <c r="F58" s="216" t="str">
        <f ca="1">IF(ISERROR($V58),"",OFFSET('Smelter Look-up'!$E$4,$V58-4,0))</f>
        <v>CID000917</v>
      </c>
      <c r="G58" s="216" t="str">
        <f ca="1">IF(C58=$X$4,"Enter smelter details", IF(ISERROR($V58),"",OFFSET('Smelter Look-up'!$F$4,$V58-4,0)))</f>
        <v>RMI</v>
      </c>
      <c r="H58" s="217">
        <f ca="1">IF(ISERROR($V58),"",OFFSET('Smelter Look-up'!$G$4,$V58-4,0))</f>
        <v>0</v>
      </c>
      <c r="I58" s="218" t="str">
        <f ca="1">IF(ISERROR($V58),"",OFFSET('Smelter Look-up'!$H$4,$V58-4,0))</f>
        <v>Jiujiang</v>
      </c>
      <c r="J58" s="218" t="str">
        <f ca="1">IF(ISERROR($V58),"",OFFSET('Smelter Look-up'!$I$4,$V58-4,0))</f>
        <v>Jiangxi Sheng</v>
      </c>
      <c r="K58" s="267"/>
      <c r="L58" s="267"/>
      <c r="M58" s="267"/>
      <c r="N58" s="267"/>
      <c r="O58" s="267"/>
      <c r="P58" s="219"/>
      <c r="Q58" s="268"/>
      <c r="R58" s="216" t="str">
        <f ca="1">IF(ISERROR($V58),"",OFFSET('Smelter Look-up'!$C$4,$V58-4,0)&amp;"")</f>
        <v>Jiujiang Tanbre Co., Ltd.</v>
      </c>
      <c r="S58" s="224" t="str">
        <f t="shared" ca="1" si="0"/>
        <v>CN</v>
      </c>
      <c r="T58" s="224" t="str">
        <f ca="1">IF(B58="","",IF(ISERROR(MATCH($J58,SorP!$B$1:$B$6230,0)),"",INDIRECT("'SorP'!$A$"&amp;MATCH($J58,SorP!$B$1:$B$6230,0))))</f>
        <v>CN-JX</v>
      </c>
      <c r="U58" s="239"/>
      <c r="V58" s="269">
        <f ca="1">IF(C58="",NA(),MATCH($B58&amp;$C58,'Smelter Look-up'!$J:$J,0))</f>
        <v>312</v>
      </c>
      <c r="W58" s="270"/>
      <c r="X58" s="270">
        <f t="shared" ca="1" si="1"/>
        <v>0</v>
      </c>
      <c r="Y58" s="270"/>
      <c r="Z58" s="270"/>
      <c r="AB58" s="272" t="str">
        <f t="shared" ca="1" si="2"/>
        <v>TantalumJiujiang Tanbre Co., Ltd.</v>
      </c>
    </row>
    <row r="59" spans="1:28" s="271" customFormat="1" ht="102">
      <c r="A59" s="215" t="s">
        <v>853</v>
      </c>
      <c r="B59" s="216" t="str">
        <f ca="1">IF(LEN(A59)=0,"",INDEX('Smelter Look-up'!$A:$A,MATCH($A59,'Smelter Look-up'!$E:$E,0)))</f>
        <v>Tantalum</v>
      </c>
      <c r="C59" s="220" t="str">
        <f ca="1">IF(LEN(A59)=0,"",INDEX('Smelter Look-up'!$C:$C,MATCH($A59,'Smelter Look-up'!$E:$E,0)))</f>
        <v>Ningxia Orient Tantalum Industry Co., Ltd.</v>
      </c>
      <c r="D59" s="216"/>
      <c r="E59" s="216" t="str">
        <f ca="1">IF(ISERROR($V59),"",OFFSET('Smelter Look-up'!$D$4,$V59-4,0)&amp;"")</f>
        <v>CHINA</v>
      </c>
      <c r="F59" s="216" t="str">
        <f ca="1">IF(ISERROR($V59),"",OFFSET('Smelter Look-up'!$E$4,$V59-4,0))</f>
        <v>CID001277</v>
      </c>
      <c r="G59" s="216" t="str">
        <f ca="1">IF(C59=$X$4,"Enter smelter details", IF(ISERROR($V59),"",OFFSET('Smelter Look-up'!$F$4,$V59-4,0)))</f>
        <v>RMI</v>
      </c>
      <c r="H59" s="217">
        <f ca="1">IF(ISERROR($V59),"",OFFSET('Smelter Look-up'!$G$4,$V59-4,0))</f>
        <v>0</v>
      </c>
      <c r="I59" s="218" t="str">
        <f ca="1">IF(ISERROR($V59),"",OFFSET('Smelter Look-up'!$H$4,$V59-4,0))</f>
        <v>Shizuishan City</v>
      </c>
      <c r="J59" s="218" t="str">
        <f ca="1">IF(ISERROR($V59),"",OFFSET('Smelter Look-up'!$I$4,$V59-4,0))</f>
        <v>Ningxia Huizi Zizhiqu</v>
      </c>
      <c r="K59" s="267"/>
      <c r="L59" s="267"/>
      <c r="M59" s="267"/>
      <c r="N59" s="267"/>
      <c r="O59" s="267"/>
      <c r="P59" s="219"/>
      <c r="Q59" s="268"/>
      <c r="R59" s="216" t="str">
        <f ca="1">IF(ISERROR($V59),"",OFFSET('Smelter Look-up'!$C$4,$V59-4,0)&amp;"")</f>
        <v>Ningxia Orient Tantalum Industry Co., Ltd.</v>
      </c>
      <c r="S59" s="224" t="str">
        <f t="shared" ca="1" si="0"/>
        <v>CN</v>
      </c>
      <c r="T59" s="224" t="str">
        <f ca="1">IF(B59="","",IF(ISERROR(MATCH($J59,SorP!$B$1:$B$6230,0)),"",INDIRECT("'SorP'!$A$"&amp;MATCH($J59,SorP!$B$1:$B$6230,0))))</f>
        <v>CN-NX</v>
      </c>
      <c r="U59" s="239"/>
      <c r="V59" s="269">
        <f ca="1">IF(C59="",NA(),MATCH($B59&amp;$C59,'Smelter Look-up'!$J:$J,0))</f>
        <v>326</v>
      </c>
      <c r="W59" s="270"/>
      <c r="X59" s="270">
        <f t="shared" ca="1" si="1"/>
        <v>0</v>
      </c>
      <c r="Y59" s="270"/>
      <c r="Z59" s="270"/>
      <c r="AB59" s="272" t="str">
        <f t="shared" ca="1" si="2"/>
        <v>TantalumNingxia Orient Tantalum Industry Co., Ltd.</v>
      </c>
    </row>
    <row r="60" spans="1:28" s="271" customFormat="1" ht="76.5">
      <c r="A60" s="215" t="s">
        <v>859</v>
      </c>
      <c r="B60" s="216" t="str">
        <f ca="1">IF(LEN(A60)=0,"",INDEX('Smelter Look-up'!$A:$A,MATCH($A60,'Smelter Look-up'!$E:$E,0)))</f>
        <v>Tantalum</v>
      </c>
      <c r="C60" s="220" t="str">
        <f ca="1">IF(LEN(A60)=0,"",INDEX('Smelter Look-up'!$C:$C,MATCH($A60,'Smelter Look-up'!$E:$E,0)))</f>
        <v>Ulba Metallurgical Plant JSC</v>
      </c>
      <c r="D60" s="216"/>
      <c r="E60" s="216" t="str">
        <f ca="1">IF(ISERROR($V60),"",OFFSET('Smelter Look-up'!$D$4,$V60-4,0)&amp;"")</f>
        <v>KAZAKHSTAN</v>
      </c>
      <c r="F60" s="216" t="str">
        <f ca="1">IF(ISERROR($V60),"",OFFSET('Smelter Look-up'!$E$4,$V60-4,0))</f>
        <v>CID001969</v>
      </c>
      <c r="G60" s="216" t="str">
        <f ca="1">IF(C60=$X$4,"Enter smelter details", IF(ISERROR($V60),"",OFFSET('Smelter Look-up'!$F$4,$V60-4,0)))</f>
        <v>RMI</v>
      </c>
      <c r="H60" s="217">
        <f ca="1">IF(ISERROR($V60),"",OFFSET('Smelter Look-up'!$G$4,$V60-4,0))</f>
        <v>0</v>
      </c>
      <c r="I60" s="218" t="str">
        <f ca="1">IF(ISERROR($V60),"",OFFSET('Smelter Look-up'!$H$4,$V60-4,0))</f>
        <v>Ust-Kamenogorsk</v>
      </c>
      <c r="J60" s="218" t="str">
        <f ca="1">IF(ISERROR($V60),"",OFFSET('Smelter Look-up'!$I$4,$V60-4,0))</f>
        <v>Qaraghandy oblysy</v>
      </c>
      <c r="K60" s="267"/>
      <c r="L60" s="267"/>
      <c r="M60" s="267"/>
      <c r="N60" s="267"/>
      <c r="O60" s="267"/>
      <c r="P60" s="219"/>
      <c r="Q60" s="268"/>
      <c r="R60" s="216" t="str">
        <f ca="1">IF(ISERROR($V60),"",OFFSET('Smelter Look-up'!$C$4,$V60-4,0)&amp;"")</f>
        <v>Ulba Metallurgical Plant JSC</v>
      </c>
      <c r="S60" s="224" t="str">
        <f t="shared" ca="1" si="0"/>
        <v>KZ</v>
      </c>
      <c r="T60" s="224" t="str">
        <f ca="1">IF(B60="","",IF(ISERROR(MATCH($J60,SorP!$B$1:$B$6230,0)),"",INDIRECT("'SorP'!$A$"&amp;MATCH($J60,SorP!$B$1:$B$6230,0))))</f>
        <v>KZ-KAR</v>
      </c>
      <c r="U60" s="239"/>
      <c r="V60" s="269">
        <f ca="1">IF(C60="",NA(),MATCH($B60&amp;$C60,'Smelter Look-up'!$J:$J,0))</f>
        <v>343</v>
      </c>
      <c r="W60" s="270"/>
      <c r="X60" s="270">
        <f t="shared" ca="1" si="1"/>
        <v>0</v>
      </c>
      <c r="Y60" s="270"/>
      <c r="Z60" s="270"/>
      <c r="AB60" s="272" t="str">
        <f t="shared" ca="1" si="2"/>
        <v>TantalumUlba Metallurgical Plant JSC</v>
      </c>
    </row>
    <row r="61" spans="1:28" s="271" customFormat="1" ht="114.75">
      <c r="A61" s="215" t="s">
        <v>459</v>
      </c>
      <c r="B61" s="216" t="str">
        <f ca="1">IF(LEN(A61)=0,"",INDEX('Smelter Look-up'!$A:$A,MATCH($A61,'Smelter Look-up'!$E:$E,0)))</f>
        <v>Tantalum</v>
      </c>
      <c r="C61" s="220" t="str">
        <f ca="1">IF(LEN(A61)=0,"",INDEX('Smelter Look-up'!$C:$C,MATCH($A61,'Smelter Look-up'!$E:$E,0)))</f>
        <v>Hengyang King Xing Lifeng New Materials Co., Ltd.</v>
      </c>
      <c r="D61" s="216"/>
      <c r="E61" s="216" t="str">
        <f ca="1">IF(ISERROR($V61),"",OFFSET('Smelter Look-up'!$D$4,$V61-4,0)&amp;"")</f>
        <v>CHINA</v>
      </c>
      <c r="F61" s="216" t="str">
        <f ca="1">IF(ISERROR($V61),"",OFFSET('Smelter Look-up'!$E$4,$V61-4,0))</f>
        <v>CID002492</v>
      </c>
      <c r="G61" s="216" t="str">
        <f ca="1">IF(C61=$X$4,"Enter smelter details", IF(ISERROR($V61),"",OFFSET('Smelter Look-up'!$F$4,$V61-4,0)))</f>
        <v>RMI</v>
      </c>
      <c r="H61" s="217">
        <f ca="1">IF(ISERROR($V61),"",OFFSET('Smelter Look-up'!$G$4,$V61-4,0))</f>
        <v>0</v>
      </c>
      <c r="I61" s="218" t="str">
        <f ca="1">IF(ISERROR($V61),"",OFFSET('Smelter Look-up'!$H$4,$V61-4,0))</f>
        <v>Hengyang</v>
      </c>
      <c r="J61" s="218" t="str">
        <f ca="1">IF(ISERROR($V61),"",OFFSET('Smelter Look-up'!$I$4,$V61-4,0))</f>
        <v>Hunan Sheng</v>
      </c>
      <c r="K61" s="267"/>
      <c r="L61" s="267"/>
      <c r="M61" s="267"/>
      <c r="N61" s="267"/>
      <c r="O61" s="267"/>
      <c r="P61" s="219"/>
      <c r="Q61" s="268"/>
      <c r="R61" s="216" t="str">
        <f ca="1">IF(ISERROR($V61),"",OFFSET('Smelter Look-up'!$C$4,$V61-4,0)&amp;"")</f>
        <v>Hengyang King Xing Lifeng New Materials Co., Ltd.</v>
      </c>
      <c r="S61" s="224" t="str">
        <f t="shared" ca="1" si="0"/>
        <v>CN</v>
      </c>
      <c r="T61" s="224" t="str">
        <f ca="1">IF(B61="","",IF(ISERROR(MATCH($J61,SorP!$B$1:$B$6230,0)),"",INDIRECT("'SorP'!$A$"&amp;MATCH($J61,SorP!$B$1:$B$6230,0))))</f>
        <v>CN-HN</v>
      </c>
      <c r="U61" s="239"/>
      <c r="V61" s="269">
        <f ca="1">IF(C61="",NA(),MATCH($B61&amp;$C61,'Smelter Look-up'!$J:$J,0))</f>
        <v>306</v>
      </c>
      <c r="W61" s="270"/>
      <c r="X61" s="270">
        <f t="shared" ca="1" si="1"/>
        <v>0</v>
      </c>
      <c r="Y61" s="270"/>
      <c r="Z61" s="270"/>
      <c r="AB61" s="272" t="str">
        <f t="shared" ca="1" si="2"/>
        <v>TantalumHengyang King Xing Lifeng New Materials Co., Ltd.</v>
      </c>
    </row>
    <row r="62" spans="1:28" s="271" customFormat="1" ht="63.75">
      <c r="A62" s="215" t="s">
        <v>1559</v>
      </c>
      <c r="B62" s="216" t="str">
        <f ca="1">IF(LEN(A62)=0,"",INDEX('Smelter Look-up'!$A:$A,MATCH($A62,'Smelter Look-up'!$E:$E,0)))</f>
        <v>Tantalum</v>
      </c>
      <c r="C62" s="220" t="str">
        <f ca="1">IF(LEN(A62)=0,"",INDEX('Smelter Look-up'!$C:$C,MATCH($A62,'Smelter Look-up'!$E:$E,0)))</f>
        <v>H.C. Starck Co., Ltd.</v>
      </c>
      <c r="D62" s="216"/>
      <c r="E62" s="216" t="str">
        <f ca="1">IF(ISERROR($V62),"",OFFSET('Smelter Look-up'!$D$4,$V62-4,0)&amp;"")</f>
        <v>THAILAND</v>
      </c>
      <c r="F62" s="216" t="str">
        <f ca="1">IF(ISERROR($V62),"",OFFSET('Smelter Look-up'!$E$4,$V62-4,0))</f>
        <v>CID002544</v>
      </c>
      <c r="G62" s="216" t="str">
        <f ca="1">IF(C62=$X$4,"Enter smelter details", IF(ISERROR($V62),"",OFFSET('Smelter Look-up'!$F$4,$V62-4,0)))</f>
        <v>RMI</v>
      </c>
      <c r="H62" s="217">
        <f ca="1">IF(ISERROR($V62),"",OFFSET('Smelter Look-up'!$G$4,$V62-4,0))</f>
        <v>0</v>
      </c>
      <c r="I62" s="218" t="str">
        <f ca="1">IF(ISERROR($V62),"",OFFSET('Smelter Look-up'!$H$4,$V62-4,0))</f>
        <v>Map Ta Phut</v>
      </c>
      <c r="J62" s="218" t="str">
        <f ca="1">IF(ISERROR($V62),"",OFFSET('Smelter Look-up'!$I$4,$V62-4,0))</f>
        <v>Rayong</v>
      </c>
      <c r="K62" s="267"/>
      <c r="L62" s="267"/>
      <c r="M62" s="267"/>
      <c r="N62" s="267"/>
      <c r="O62" s="267"/>
      <c r="P62" s="219"/>
      <c r="Q62" s="268"/>
      <c r="R62" s="216" t="str">
        <f ca="1">IF(ISERROR($V62),"",OFFSET('Smelter Look-up'!$C$4,$V62-4,0)&amp;"")</f>
        <v>H.C. Starck Co., Ltd.</v>
      </c>
      <c r="S62" s="224" t="str">
        <f t="shared" ca="1" si="0"/>
        <v>TH</v>
      </c>
      <c r="T62" s="224" t="str">
        <f ca="1">IF(B62="","",IF(ISERROR(MATCH($J62,SorP!$B$1:$B$6230,0)),"",INDIRECT("'SorP'!$A$"&amp;MATCH($J62,SorP!$B$1:$B$6230,0))))</f>
        <v>TH-21</v>
      </c>
      <c r="U62" s="239"/>
      <c r="V62" s="269">
        <f ca="1">IF(C62="",NA(),MATCH($B62&amp;$C62,'Smelter Look-up'!$J:$J,0))</f>
        <v>300</v>
      </c>
      <c r="W62" s="270"/>
      <c r="X62" s="270">
        <f t="shared" ca="1" si="1"/>
        <v>0</v>
      </c>
      <c r="Y62" s="270"/>
      <c r="Z62" s="270"/>
      <c r="AB62" s="272" t="str">
        <f t="shared" ca="1" si="2"/>
        <v>TantalumH.C. Starck Co., Ltd.</v>
      </c>
    </row>
    <row r="63" spans="1:28" s="271" customFormat="1" ht="89.25">
      <c r="A63" s="215" t="s">
        <v>1560</v>
      </c>
      <c r="B63" s="216" t="str">
        <f ca="1">IF(LEN(A63)=0,"",INDEX('Smelter Look-up'!$A:$A,MATCH($A63,'Smelter Look-up'!$E:$E,0)))</f>
        <v>Tantalum</v>
      </c>
      <c r="C63" s="220" t="str">
        <f ca="1">IF(LEN(A63)=0,"",INDEX('Smelter Look-up'!$C:$C,MATCH($A63,'Smelter Look-up'!$E:$E,0)))</f>
        <v>H.C. Starck Tantalum and Niobium GmbH</v>
      </c>
      <c r="D63" s="216"/>
      <c r="E63" s="216" t="str">
        <f ca="1">IF(ISERROR($V63),"",OFFSET('Smelter Look-up'!$D$4,$V63-4,0)&amp;"")</f>
        <v>GERMANY</v>
      </c>
      <c r="F63" s="216" t="str">
        <f ca="1">IF(ISERROR($V63),"",OFFSET('Smelter Look-up'!$E$4,$V63-4,0))</f>
        <v>CID002545</v>
      </c>
      <c r="G63" s="216" t="str">
        <f ca="1">IF(C63=$X$4,"Enter smelter details", IF(ISERROR($V63),"",OFFSET('Smelter Look-up'!$F$4,$V63-4,0)))</f>
        <v>RMI</v>
      </c>
      <c r="H63" s="217">
        <f ca="1">IF(ISERROR($V63),"",OFFSET('Smelter Look-up'!$G$4,$V63-4,0))</f>
        <v>0</v>
      </c>
      <c r="I63" s="218" t="str">
        <f ca="1">IF(ISERROR($V63),"",OFFSET('Smelter Look-up'!$H$4,$V63-4,0))</f>
        <v>Goslar</v>
      </c>
      <c r="J63" s="218" t="str">
        <f ca="1">IF(ISERROR($V63),"",OFFSET('Smelter Look-up'!$I$4,$V63-4,0))</f>
        <v>Niedersachsen</v>
      </c>
      <c r="K63" s="267"/>
      <c r="L63" s="267"/>
      <c r="M63" s="267"/>
      <c r="N63" s="267"/>
      <c r="O63" s="267"/>
      <c r="P63" s="219"/>
      <c r="Q63" s="268"/>
      <c r="R63" s="216" t="str">
        <f ca="1">IF(ISERROR($V63),"",OFFSET('Smelter Look-up'!$C$4,$V63-4,0)&amp;"")</f>
        <v>H.C. Starck Tantalum and Niobium GmbH</v>
      </c>
      <c r="S63" s="224" t="str">
        <f t="shared" ca="1" si="0"/>
        <v>DE</v>
      </c>
      <c r="T63" s="224" t="str">
        <f ca="1">IF(B63="","",IF(ISERROR(MATCH($J63,SorP!$B$1:$B$6230,0)),"",INDIRECT("'SorP'!$A$"&amp;MATCH($J63,SorP!$B$1:$B$6230,0))))</f>
        <v>DE-NI</v>
      </c>
      <c r="U63" s="239"/>
      <c r="V63" s="269">
        <f ca="1">IF(C63="",NA(),MATCH($B63&amp;$C63,'Smelter Look-up'!$J:$J,0))</f>
        <v>305</v>
      </c>
      <c r="W63" s="270"/>
      <c r="X63" s="270">
        <f t="shared" ca="1" si="1"/>
        <v>0</v>
      </c>
      <c r="Y63" s="270"/>
      <c r="Z63" s="270"/>
      <c r="AB63" s="272" t="str">
        <f t="shared" ca="1" si="2"/>
        <v>TantalumH.C. Starck Tantalum and Niobium GmbH</v>
      </c>
    </row>
    <row r="64" spans="1:28" s="271" customFormat="1" ht="51">
      <c r="A64" s="215" t="s">
        <v>1564</v>
      </c>
      <c r="B64" s="216" t="str">
        <f ca="1">IF(LEN(A64)=0,"",INDEX('Smelter Look-up'!$A:$A,MATCH($A64,'Smelter Look-up'!$E:$E,0)))</f>
        <v>Tantalum</v>
      </c>
      <c r="C64" s="220" t="str">
        <f ca="1">IF(LEN(A64)=0,"",INDEX('Smelter Look-up'!$C:$C,MATCH($A64,'Smelter Look-up'!$E:$E,0)))</f>
        <v>H.C. Starck Inc.</v>
      </c>
      <c r="D64" s="216"/>
      <c r="E64" s="216" t="str">
        <f ca="1">IF(ISERROR($V64),"",OFFSET('Smelter Look-up'!$D$4,$V64-4,0)&amp;"")</f>
        <v>UNITED STATES OF AMERICA</v>
      </c>
      <c r="F64" s="216" t="str">
        <f ca="1">IF(ISERROR($V64),"",OFFSET('Smelter Look-up'!$E$4,$V64-4,0))</f>
        <v>CID002548</v>
      </c>
      <c r="G64" s="216" t="str">
        <f ca="1">IF(C64=$X$4,"Enter smelter details", IF(ISERROR($V64),"",OFFSET('Smelter Look-up'!$F$4,$V64-4,0)))</f>
        <v>RMI</v>
      </c>
      <c r="H64" s="217">
        <f ca="1">IF(ISERROR($V64),"",OFFSET('Smelter Look-up'!$G$4,$V64-4,0))</f>
        <v>0</v>
      </c>
      <c r="I64" s="218" t="str">
        <f ca="1">IF(ISERROR($V64),"",OFFSET('Smelter Look-up'!$H$4,$V64-4,0))</f>
        <v>Newton</v>
      </c>
      <c r="J64" s="218" t="str">
        <f ca="1">IF(ISERROR($V64),"",OFFSET('Smelter Look-up'!$I$4,$V64-4,0))</f>
        <v>Massachusetts</v>
      </c>
      <c r="K64" s="267"/>
      <c r="L64" s="267"/>
      <c r="M64" s="267"/>
      <c r="N64" s="267"/>
      <c r="O64" s="267"/>
      <c r="P64" s="219"/>
      <c r="Q64" s="268"/>
      <c r="R64" s="216" t="str">
        <f ca="1">IF(ISERROR($V64),"",OFFSET('Smelter Look-up'!$C$4,$V64-4,0)&amp;"")</f>
        <v>H.C. Starck Inc.</v>
      </c>
      <c r="S64" s="224" t="str">
        <f t="shared" ca="1" si="0"/>
        <v>US</v>
      </c>
      <c r="T64" s="224" t="str">
        <f ca="1">IF(B64="","",IF(ISERROR(MATCH($J64,SorP!$B$1:$B$6230,0)),"",INDIRECT("'SorP'!$A$"&amp;MATCH($J64,SorP!$B$1:$B$6230,0))))</f>
        <v>US-MA</v>
      </c>
      <c r="U64" s="239"/>
      <c r="V64" s="269">
        <f ca="1">IF(C64="",NA(),MATCH($B64&amp;$C64,'Smelter Look-up'!$J:$J,0))</f>
        <v>302</v>
      </c>
      <c r="W64" s="270"/>
      <c r="X64" s="270">
        <f t="shared" ca="1" si="1"/>
        <v>0</v>
      </c>
      <c r="Y64" s="270"/>
      <c r="Z64" s="270"/>
      <c r="AB64" s="272" t="str">
        <f t="shared" ca="1" si="2"/>
        <v>TantalumH.C. Starck Inc.</v>
      </c>
    </row>
    <row r="65" spans="1:28" s="271" customFormat="1" ht="51">
      <c r="A65" s="215" t="s">
        <v>1566</v>
      </c>
      <c r="B65" s="216" t="str">
        <f ca="1">IF(LEN(A65)=0,"",INDEX('Smelter Look-up'!$A:$A,MATCH($A65,'Smelter Look-up'!$E:$E,0)))</f>
        <v>Tantalum</v>
      </c>
      <c r="C65" s="220" t="str">
        <f ca="1">IF(LEN(A65)=0,"",INDEX('Smelter Look-up'!$C:$C,MATCH($A65,'Smelter Look-up'!$E:$E,0)))</f>
        <v>H.C. Starck Ltd.</v>
      </c>
      <c r="D65" s="216"/>
      <c r="E65" s="216" t="str">
        <f ca="1">IF(ISERROR($V65),"",OFFSET('Smelter Look-up'!$D$4,$V65-4,0)&amp;"")</f>
        <v>JAPAN</v>
      </c>
      <c r="F65" s="216" t="str">
        <f ca="1">IF(ISERROR($V65),"",OFFSET('Smelter Look-up'!$E$4,$V65-4,0))</f>
        <v>CID002549</v>
      </c>
      <c r="G65" s="216" t="str">
        <f ca="1">IF(C65=$X$4,"Enter smelter details", IF(ISERROR($V65),"",OFFSET('Smelter Look-up'!$F$4,$V65-4,0)))</f>
        <v>RMI</v>
      </c>
      <c r="H65" s="217">
        <f ca="1">IF(ISERROR($V65),"",OFFSET('Smelter Look-up'!$G$4,$V65-4,0))</f>
        <v>0</v>
      </c>
      <c r="I65" s="218" t="str">
        <f ca="1">IF(ISERROR($V65),"",OFFSET('Smelter Look-up'!$H$4,$V65-4,0))</f>
        <v>Mito</v>
      </c>
      <c r="J65" s="218" t="str">
        <f ca="1">IF(ISERROR($V65),"",OFFSET('Smelter Look-up'!$I$4,$V65-4,0))</f>
        <v>Ibaraki</v>
      </c>
      <c r="K65" s="267"/>
      <c r="L65" s="267"/>
      <c r="M65" s="267"/>
      <c r="N65" s="267"/>
      <c r="O65" s="267"/>
      <c r="P65" s="219"/>
      <c r="Q65" s="268"/>
      <c r="R65" s="216" t="str">
        <f ca="1">IF(ISERROR($V65),"",OFFSET('Smelter Look-up'!$C$4,$V65-4,0)&amp;"")</f>
        <v>H.C. Starck Ltd.</v>
      </c>
      <c r="S65" s="224" t="str">
        <f t="shared" ca="1" si="0"/>
        <v>JP</v>
      </c>
      <c r="T65" s="224" t="str">
        <f ca="1">IF(B65="","",IF(ISERROR(MATCH($J65,SorP!$B$1:$B$6230,0)),"",INDIRECT("'SorP'!$A$"&amp;MATCH($J65,SorP!$B$1:$B$6230,0))))</f>
        <v>JP-08</v>
      </c>
      <c r="U65" s="239"/>
      <c r="V65" s="269">
        <f ca="1">IF(C65="",NA(),MATCH($B65&amp;$C65,'Smelter Look-up'!$J:$J,0))</f>
        <v>303</v>
      </c>
      <c r="W65" s="270"/>
      <c r="X65" s="270">
        <f t="shared" ca="1" si="1"/>
        <v>0</v>
      </c>
      <c r="Y65" s="270"/>
      <c r="Z65" s="270"/>
      <c r="AB65" s="272" t="str">
        <f t="shared" ca="1" si="2"/>
        <v>TantalumH.C. Starck Ltd.</v>
      </c>
    </row>
    <row r="66" spans="1:28" s="271" customFormat="1" ht="76.5">
      <c r="A66" s="215" t="s">
        <v>1567</v>
      </c>
      <c r="B66" s="216" t="str">
        <f ca="1">IF(LEN(A66)=0,"",INDEX('Smelter Look-up'!$A:$A,MATCH($A66,'Smelter Look-up'!$E:$E,0)))</f>
        <v>Tantalum</v>
      </c>
      <c r="C66" s="220" t="str">
        <f ca="1">IF(LEN(A66)=0,"",INDEX('Smelter Look-up'!$C:$C,MATCH($A66,'Smelter Look-up'!$E:$E,0)))</f>
        <v>H.C. Starck Smelting GmbH &amp; Co. KG</v>
      </c>
      <c r="D66" s="216"/>
      <c r="E66" s="216" t="str">
        <f ca="1">IF(ISERROR($V66),"",OFFSET('Smelter Look-up'!$D$4,$V66-4,0)&amp;"")</f>
        <v>GERMANY</v>
      </c>
      <c r="F66" s="216" t="str">
        <f ca="1">IF(ISERROR($V66),"",OFFSET('Smelter Look-up'!$E$4,$V66-4,0))</f>
        <v>CID002550</v>
      </c>
      <c r="G66" s="216" t="str">
        <f ca="1">IF(C66=$X$4,"Enter smelter details", IF(ISERROR($V66),"",OFFSET('Smelter Look-up'!$F$4,$V66-4,0)))</f>
        <v>RMI</v>
      </c>
      <c r="H66" s="217">
        <f ca="1">IF(ISERROR($V66),"",OFFSET('Smelter Look-up'!$G$4,$V66-4,0))</f>
        <v>0</v>
      </c>
      <c r="I66" s="218" t="str">
        <f ca="1">IF(ISERROR($V66),"",OFFSET('Smelter Look-up'!$H$4,$V66-4,0))</f>
        <v>Laufenburg</v>
      </c>
      <c r="J66" s="218" t="str">
        <f ca="1">IF(ISERROR($V66),"",OFFSET('Smelter Look-up'!$I$4,$V66-4,0))</f>
        <v>Baden-Württemberg</v>
      </c>
      <c r="K66" s="267"/>
      <c r="L66" s="267"/>
      <c r="M66" s="267"/>
      <c r="N66" s="267"/>
      <c r="O66" s="267"/>
      <c r="P66" s="219"/>
      <c r="Q66" s="268"/>
      <c r="R66" s="216" t="str">
        <f ca="1">IF(ISERROR($V66),"",OFFSET('Smelter Look-up'!$C$4,$V66-4,0)&amp;"")</f>
        <v>H.C. Starck Smelting GmbH &amp; Co. KG</v>
      </c>
      <c r="S66" s="224" t="str">
        <f t="shared" ca="1" si="0"/>
        <v>DE</v>
      </c>
      <c r="T66" s="224" t="str">
        <f ca="1">IF(B66="","",IF(ISERROR(MATCH($J66,SorP!$B$1:$B$6230,0)),"",INDIRECT("'SorP'!$A$"&amp;MATCH($J66,SorP!$B$1:$B$6230,0))))</f>
        <v>DE-BW</v>
      </c>
      <c r="U66" s="239"/>
      <c r="V66" s="269">
        <f ca="1">IF(C66="",NA(),MATCH($B66&amp;$C66,'Smelter Look-up'!$J:$J,0))</f>
        <v>304</v>
      </c>
      <c r="W66" s="270"/>
      <c r="X66" s="270">
        <f t="shared" ca="1" si="1"/>
        <v>0</v>
      </c>
      <c r="Y66" s="270"/>
      <c r="Z66" s="270"/>
      <c r="AB66" s="272" t="str">
        <f t="shared" ca="1" si="2"/>
        <v>TantalumH.C. Starck Smelting GmbH &amp; Co. KG</v>
      </c>
    </row>
    <row r="67" spans="1:28" s="271" customFormat="1" ht="89.25">
      <c r="A67" s="215" t="s">
        <v>1557</v>
      </c>
      <c r="B67" s="216" t="str">
        <f ca="1">IF(LEN(A67)=0,"",INDEX('Smelter Look-up'!$A:$A,MATCH($A67,'Smelter Look-up'!$E:$E,0)))</f>
        <v>Tantalum</v>
      </c>
      <c r="C67" s="220" t="str">
        <f ca="1">IF(LEN(A67)=0,"",INDEX('Smelter Look-up'!$C:$C,MATCH($A67,'Smelter Look-up'!$E:$E,0)))</f>
        <v>Global Advanced Metals Boyertown</v>
      </c>
      <c r="D67" s="216"/>
      <c r="E67" s="216" t="str">
        <f ca="1">IF(ISERROR($V67),"",OFFSET('Smelter Look-up'!$D$4,$V67-4,0)&amp;"")</f>
        <v>UNITED STATES OF AMERICA</v>
      </c>
      <c r="F67" s="216" t="str">
        <f ca="1">IF(ISERROR($V67),"",OFFSET('Smelter Look-up'!$E$4,$V67-4,0))</f>
        <v>CID002557</v>
      </c>
      <c r="G67" s="216" t="str">
        <f ca="1">IF(C67=$X$4,"Enter smelter details", IF(ISERROR($V67),"",OFFSET('Smelter Look-up'!$F$4,$V67-4,0)))</f>
        <v>RMI</v>
      </c>
      <c r="H67" s="217">
        <f ca="1">IF(ISERROR($V67),"",OFFSET('Smelter Look-up'!$G$4,$V67-4,0))</f>
        <v>0</v>
      </c>
      <c r="I67" s="218" t="str">
        <f ca="1">IF(ISERROR($V67),"",OFFSET('Smelter Look-up'!$H$4,$V67-4,0))</f>
        <v>Boyertown</v>
      </c>
      <c r="J67" s="218" t="str">
        <f ca="1">IF(ISERROR($V67),"",OFFSET('Smelter Look-up'!$I$4,$V67-4,0))</f>
        <v>Pennsylvania</v>
      </c>
      <c r="K67" s="267"/>
      <c r="L67" s="267"/>
      <c r="M67" s="267"/>
      <c r="N67" s="267"/>
      <c r="O67" s="267"/>
      <c r="P67" s="219"/>
      <c r="Q67" s="268"/>
      <c r="R67" s="216" t="str">
        <f ca="1">IF(ISERROR($V67),"",OFFSET('Smelter Look-up'!$C$4,$V67-4,0)&amp;"")</f>
        <v>Global Advanced Metals Boyertown</v>
      </c>
      <c r="S67" s="224" t="str">
        <f t="shared" ca="1" si="0"/>
        <v>US</v>
      </c>
      <c r="T67" s="224" t="str">
        <f ca="1">IF(B67="","",IF(ISERROR(MATCH($J67,SorP!$B$1:$B$6230,0)),"",INDIRECT("'SorP'!$A$"&amp;MATCH($J67,SorP!$B$1:$B$6230,0))))</f>
        <v>US-PA</v>
      </c>
      <c r="U67" s="239"/>
      <c r="V67" s="269">
        <f ca="1">IF(C67="",NA(),MATCH($B67&amp;$C67,'Smelter Look-up'!$J:$J,0))</f>
        <v>297</v>
      </c>
      <c r="W67" s="270"/>
      <c r="X67" s="270">
        <f t="shared" ca="1" si="1"/>
        <v>0</v>
      </c>
      <c r="Y67" s="270"/>
      <c r="Z67" s="270"/>
      <c r="AB67" s="272" t="str">
        <f t="shared" ca="1" si="2"/>
        <v>TantalumGlobal Advanced Metals Boyertown</v>
      </c>
    </row>
    <row r="68" spans="1:28" s="271" customFormat="1" ht="76.5">
      <c r="A68" s="215" t="s">
        <v>1555</v>
      </c>
      <c r="B68" s="216" t="str">
        <f ca="1">IF(LEN(A68)=0,"",INDEX('Smelter Look-up'!$A:$A,MATCH($A68,'Smelter Look-up'!$E:$E,0)))</f>
        <v>Tantalum</v>
      </c>
      <c r="C68" s="220" t="str">
        <f ca="1">IF(LEN(A68)=0,"",INDEX('Smelter Look-up'!$C:$C,MATCH($A68,'Smelter Look-up'!$E:$E,0)))</f>
        <v>Global Advanced Metals Aizu</v>
      </c>
      <c r="D68" s="216"/>
      <c r="E68" s="216" t="str">
        <f ca="1">IF(ISERROR($V68),"",OFFSET('Smelter Look-up'!$D$4,$V68-4,0)&amp;"")</f>
        <v>JAPAN</v>
      </c>
      <c r="F68" s="216" t="str">
        <f ca="1">IF(ISERROR($V68),"",OFFSET('Smelter Look-up'!$E$4,$V68-4,0))</f>
        <v>CID002558</v>
      </c>
      <c r="G68" s="216" t="str">
        <f ca="1">IF(C68=$X$4,"Enter smelter details", IF(ISERROR($V68),"",OFFSET('Smelter Look-up'!$F$4,$V68-4,0)))</f>
        <v>RMI</v>
      </c>
      <c r="H68" s="217">
        <f ca="1">IF(ISERROR($V68),"",OFFSET('Smelter Look-up'!$G$4,$V68-4,0))</f>
        <v>0</v>
      </c>
      <c r="I68" s="218" t="str">
        <f ca="1">IF(ISERROR($V68),"",OFFSET('Smelter Look-up'!$H$4,$V68-4,0))</f>
        <v>Aizuwakamatsu</v>
      </c>
      <c r="J68" s="218" t="str">
        <f ca="1">IF(ISERROR($V68),"",OFFSET('Smelter Look-up'!$I$4,$V68-4,0))</f>
        <v>Fukushima</v>
      </c>
      <c r="K68" s="267"/>
      <c r="L68" s="267"/>
      <c r="M68" s="267"/>
      <c r="N68" s="267"/>
      <c r="O68" s="267"/>
      <c r="P68" s="219"/>
      <c r="Q68" s="268"/>
      <c r="R68" s="216" t="str">
        <f ca="1">IF(ISERROR($V68),"",OFFSET('Smelter Look-up'!$C$4,$V68-4,0)&amp;"")</f>
        <v>Global Advanced Metals Aizu</v>
      </c>
      <c r="S68" s="224" t="str">
        <f t="shared" ca="1" si="0"/>
        <v>JP</v>
      </c>
      <c r="T68" s="224" t="str">
        <f ca="1">IF(B68="","",IF(ISERROR(MATCH($J68,SorP!$B$1:$B$6230,0)),"",INDIRECT("'SorP'!$A$"&amp;MATCH($J68,SorP!$B$1:$B$6230,0))))</f>
        <v>JP-07</v>
      </c>
      <c r="U68" s="239"/>
      <c r="V68" s="269">
        <f ca="1">IF(C68="",NA(),MATCH($B68&amp;$C68,'Smelter Look-up'!$J:$J,0))</f>
        <v>296</v>
      </c>
      <c r="W68" s="270"/>
      <c r="X68" s="270">
        <f t="shared" ca="1" si="1"/>
        <v>0</v>
      </c>
      <c r="Y68" s="270"/>
      <c r="Z68" s="270"/>
      <c r="AB68" s="272" t="str">
        <f t="shared" ca="1" si="2"/>
        <v>TantalumGlobal Advanced Metals Aizu</v>
      </c>
    </row>
    <row r="69" spans="1:28" s="271" customFormat="1" ht="102">
      <c r="A69" s="215" t="s">
        <v>2738</v>
      </c>
      <c r="B69" s="216" t="str">
        <f ca="1">IF(LEN(A69)=0,"",INDEX('Smelter Look-up'!$A:$A,MATCH($A69,'Smelter Look-up'!$E:$E,0)))</f>
        <v>Tin</v>
      </c>
      <c r="C69" s="220" t="str">
        <f ca="1">IF(LEN(A69)=0,"",INDEX('Smelter Look-up'!$C:$C,MATCH($A69,'Smelter Look-up'!$E:$E,0)))</f>
        <v>Chenzhou Yunxiang Mining and Metallurgy Co., Ltd.</v>
      </c>
      <c r="D69" s="216"/>
      <c r="E69" s="216" t="str">
        <f ca="1">IF(ISERROR($V69),"",OFFSET('Smelter Look-up'!$D$4,$V69-4,0)&amp;"")</f>
        <v>CHINA</v>
      </c>
      <c r="F69" s="216" t="str">
        <f ca="1">IF(ISERROR($V69),"",OFFSET('Smelter Look-up'!$E$4,$V69-4,0))</f>
        <v>CID000228</v>
      </c>
      <c r="G69" s="216" t="str">
        <f ca="1">IF(C69=$X$4,"Enter smelter details", IF(ISERROR($V69),"",OFFSET('Smelter Look-up'!$F$4,$V69-4,0)))</f>
        <v>RMI</v>
      </c>
      <c r="H69" s="217">
        <f ca="1">IF(ISERROR($V69),"",OFFSET('Smelter Look-up'!$G$4,$V69-4,0))</f>
        <v>0</v>
      </c>
      <c r="I69" s="218" t="str">
        <f ca="1">IF(ISERROR($V69),"",OFFSET('Smelter Look-up'!$H$4,$V69-4,0))</f>
        <v>Chenzhou</v>
      </c>
      <c r="J69" s="218" t="str">
        <f ca="1">IF(ISERROR($V69),"",OFFSET('Smelter Look-up'!$I$4,$V69-4,0))</f>
        <v>Hunan Sheng</v>
      </c>
      <c r="K69" s="267"/>
      <c r="L69" s="267"/>
      <c r="M69" s="267"/>
      <c r="N69" s="267"/>
      <c r="O69" s="267"/>
      <c r="P69" s="219"/>
      <c r="Q69" s="268"/>
      <c r="R69" s="216" t="str">
        <f ca="1">IF(ISERROR($V69),"",OFFSET('Smelter Look-up'!$C$4,$V69-4,0)&amp;"")</f>
        <v>Chenzhou Yunxiang Mining and Metallurgy Co., Ltd.</v>
      </c>
      <c r="S69" s="224" t="str">
        <f t="shared" ref="S69:S132" ca="1" si="3">IF(B69="","",IF(ISERROR(MATCH($E69,CL,0)),"Unknown",INDIRECT("'C'!$A$"&amp;MATCH($E69,CL,0)+1)))</f>
        <v>CN</v>
      </c>
      <c r="T69" s="224" t="str">
        <f ca="1">IF(B69="","",IF(ISERROR(MATCH($J69,SorP!$B$1:$B$6230,0)),"",INDIRECT("'SorP'!$A$"&amp;MATCH($J69,SorP!$B$1:$B$6230,0))))</f>
        <v>CN-HN</v>
      </c>
      <c r="U69" s="239"/>
      <c r="V69" s="269">
        <f ca="1">IF(C69="",NA(),MATCH($B69&amp;$C69,'Smelter Look-up'!$J:$J,0))</f>
        <v>359</v>
      </c>
      <c r="W69" s="270"/>
      <c r="X69" s="270">
        <f t="shared" ref="X69:X132" ca="1" si="4">IF(AND(C69="Smelter not listed",OR(LEN(D69)=0,LEN(E69)=0)),1,0)</f>
        <v>0</v>
      </c>
      <c r="Y69" s="270"/>
      <c r="Z69" s="270"/>
      <c r="AB69" s="272" t="str">
        <f t="shared" ref="AB69:AB132" ca="1" si="5">B69&amp;C69</f>
        <v>TinChenzhou Yunxiang Mining and Metallurgy Co., Ltd.</v>
      </c>
    </row>
    <row r="70" spans="1:28" s="271" customFormat="1" ht="25.5">
      <c r="A70" s="215" t="s">
        <v>860</v>
      </c>
      <c r="B70" s="216" t="str">
        <f ca="1">IF(LEN(A70)=0,"",INDEX('Smelter Look-up'!$A:$A,MATCH($A70,'Smelter Look-up'!$E:$E,0)))</f>
        <v>Tin</v>
      </c>
      <c r="C70" s="220" t="str">
        <f ca="1">IF(LEN(A70)=0,"",INDEX('Smelter Look-up'!$C:$C,MATCH($A70,'Smelter Look-up'!$E:$E,0)))</f>
        <v>Alpha</v>
      </c>
      <c r="D70" s="216"/>
      <c r="E70" s="216" t="str">
        <f ca="1">IF(ISERROR($V70),"",OFFSET('Smelter Look-up'!$D$4,$V70-4,0)&amp;"")</f>
        <v>UNITED STATES OF AMERICA</v>
      </c>
      <c r="F70" s="216" t="str">
        <f ca="1">IF(ISERROR($V70),"",OFFSET('Smelter Look-up'!$E$4,$V70-4,0))</f>
        <v>CID000292</v>
      </c>
      <c r="G70" s="216" t="str">
        <f ca="1">IF(C70=$X$4,"Enter smelter details", IF(ISERROR($V70),"",OFFSET('Smelter Look-up'!$F$4,$V70-4,0)))</f>
        <v>RMI</v>
      </c>
      <c r="H70" s="217">
        <f ca="1">IF(ISERROR($V70),"",OFFSET('Smelter Look-up'!$G$4,$V70-4,0))</f>
        <v>0</v>
      </c>
      <c r="I70" s="218" t="str">
        <f ca="1">IF(ISERROR($V70),"",OFFSET('Smelter Look-up'!$H$4,$V70-4,0))</f>
        <v>Altoona</v>
      </c>
      <c r="J70" s="218" t="str">
        <f ca="1">IF(ISERROR($V70),"",OFFSET('Smelter Look-up'!$I$4,$V70-4,0))</f>
        <v>Pennsylvania</v>
      </c>
      <c r="K70" s="267"/>
      <c r="L70" s="267"/>
      <c r="M70" s="267"/>
      <c r="N70" s="267"/>
      <c r="O70" s="267"/>
      <c r="P70" s="219"/>
      <c r="Q70" s="268"/>
      <c r="R70" s="216" t="str">
        <f ca="1">IF(ISERROR($V70),"",OFFSET('Smelter Look-up'!$C$4,$V70-4,0)&amp;"")</f>
        <v>Alpha</v>
      </c>
      <c r="S70" s="224" t="str">
        <f t="shared" ca="1" si="3"/>
        <v>US</v>
      </c>
      <c r="T70" s="224" t="str">
        <f ca="1">IF(B70="","",IF(ISERROR(MATCH($J70,SorP!$B$1:$B$6230,0)),"",INDIRECT("'SorP'!$A$"&amp;MATCH($J70,SorP!$B$1:$B$6230,0))))</f>
        <v>US-PA</v>
      </c>
      <c r="U70" s="239"/>
      <c r="V70" s="269">
        <f ca="1">IF(C70="",NA(),MATCH($B70&amp;$C70,'Smelter Look-up'!$J:$J,0))</f>
        <v>350</v>
      </c>
      <c r="W70" s="270"/>
      <c r="X70" s="270">
        <f t="shared" ca="1" si="4"/>
        <v>0</v>
      </c>
      <c r="Y70" s="270"/>
      <c r="Z70" s="270"/>
      <c r="AB70" s="272" t="str">
        <f t="shared" ca="1" si="5"/>
        <v>TinAlpha</v>
      </c>
    </row>
    <row r="71" spans="1:28" s="271" customFormat="1" ht="63.75">
      <c r="A71" s="215" t="s">
        <v>1518</v>
      </c>
      <c r="B71" s="216" t="str">
        <f ca="1">IF(LEN(A71)=0,"",INDEX('Smelter Look-up'!$A:$A,MATCH($A71,'Smelter Look-up'!$E:$E,0)))</f>
        <v>Tin</v>
      </c>
      <c r="C71" s="220" t="str">
        <f ca="1">IF(LEN(A71)=0,"",INDEX('Smelter Look-up'!$C:$C,MATCH($A71,'Smelter Look-up'!$E:$E,0)))</f>
        <v>PT Aries Kencana Sejahtera</v>
      </c>
      <c r="D71" s="216"/>
      <c r="E71" s="216" t="str">
        <f ca="1">IF(ISERROR($V71),"",OFFSET('Smelter Look-up'!$D$4,$V71-4,0)&amp;"")</f>
        <v>INDONESIA</v>
      </c>
      <c r="F71" s="216" t="str">
        <f ca="1">IF(ISERROR($V71),"",OFFSET('Smelter Look-up'!$E$4,$V71-4,0))</f>
        <v>CID000309</v>
      </c>
      <c r="G71" s="216" t="str">
        <f ca="1">IF(C71=$X$4,"Enter smelter details", IF(ISERROR($V71),"",OFFSET('Smelter Look-up'!$F$4,$V71-4,0)))</f>
        <v>RMI</v>
      </c>
      <c r="H71" s="217">
        <f ca="1">IF(ISERROR($V71),"",OFFSET('Smelter Look-up'!$G$4,$V71-4,0))</f>
        <v>0</v>
      </c>
      <c r="I71" s="218" t="str">
        <f ca="1">IF(ISERROR($V71),"",OFFSET('Smelter Look-up'!$H$4,$V71-4,0))</f>
        <v>Pemali</v>
      </c>
      <c r="J71" s="218" t="str">
        <f ca="1">IF(ISERROR($V71),"",OFFSET('Smelter Look-up'!$I$4,$V71-4,0))</f>
        <v>Kepulauan Bangka Belitung</v>
      </c>
      <c r="K71" s="267"/>
      <c r="L71" s="267"/>
      <c r="M71" s="267"/>
      <c r="N71" s="267"/>
      <c r="O71" s="267"/>
      <c r="P71" s="219"/>
      <c r="Q71" s="268"/>
      <c r="R71" s="216" t="str">
        <f ca="1">IF(ISERROR($V71),"",OFFSET('Smelter Look-up'!$C$4,$V71-4,0)&amp;"")</f>
        <v>PT Aries Kencana Sejahtera</v>
      </c>
      <c r="S71" s="224" t="str">
        <f t="shared" ca="1" si="3"/>
        <v>ID</v>
      </c>
      <c r="T71" s="224" t="str">
        <f ca="1">IF(B71="","",IF(ISERROR(MATCH($J71,SorP!$B$1:$B$6230,0)),"",INDIRECT("'SorP'!$A$"&amp;MATCH($J71,SorP!$B$1:$B$6230,0))))</f>
        <v>ID-BB</v>
      </c>
      <c r="U71" s="239"/>
      <c r="V71" s="269">
        <f ca="1">IF(C71="",NA(),MATCH($B71&amp;$C71,'Smelter Look-up'!$J:$J,0))</f>
        <v>442</v>
      </c>
      <c r="W71" s="270"/>
      <c r="X71" s="270">
        <f t="shared" ca="1" si="4"/>
        <v>0</v>
      </c>
      <c r="Y71" s="270"/>
      <c r="Z71" s="270"/>
      <c r="AB71" s="272" t="str">
        <f t="shared" ca="1" si="5"/>
        <v>TinPT Aries Kencana Sejahtera</v>
      </c>
    </row>
    <row r="72" spans="1:28" s="271" customFormat="1" ht="38.25">
      <c r="A72" s="215" t="s">
        <v>862</v>
      </c>
      <c r="B72" s="216" t="str">
        <f ca="1">IF(LEN(A72)=0,"",INDEX('Smelter Look-up'!$A:$A,MATCH($A72,'Smelter Look-up'!$E:$E,0)))</f>
        <v>Tin</v>
      </c>
      <c r="C72" s="220" t="str">
        <f ca="1">IF(LEN(A72)=0,"",INDEX('Smelter Look-up'!$C:$C,MATCH($A72,'Smelter Look-up'!$E:$E,0)))</f>
        <v>CV United Smelting</v>
      </c>
      <c r="D72" s="216"/>
      <c r="E72" s="216" t="str">
        <f ca="1">IF(ISERROR($V72),"",OFFSET('Smelter Look-up'!$D$4,$V72-4,0)&amp;"")</f>
        <v>INDONESIA</v>
      </c>
      <c r="F72" s="216" t="str">
        <f ca="1">IF(ISERROR($V72),"",OFFSET('Smelter Look-up'!$E$4,$V72-4,0))</f>
        <v>CID000315</v>
      </c>
      <c r="G72" s="216" t="str">
        <f ca="1">IF(C72=$X$4,"Enter smelter details", IF(ISERROR($V72),"",OFFSET('Smelter Look-up'!$F$4,$V72-4,0)))</f>
        <v>RMI</v>
      </c>
      <c r="H72" s="217">
        <f ca="1">IF(ISERROR($V72),"",OFFSET('Smelter Look-up'!$G$4,$V72-4,0))</f>
        <v>0</v>
      </c>
      <c r="I72" s="218" t="str">
        <f ca="1">IF(ISERROR($V72),"",OFFSET('Smelter Look-up'!$H$4,$V72-4,0))</f>
        <v>Pangkal Pinang</v>
      </c>
      <c r="J72" s="218" t="str">
        <f ca="1">IF(ISERROR($V72),"",OFFSET('Smelter Look-up'!$I$4,$V72-4,0))</f>
        <v>Kepulauan Bangka Belitung</v>
      </c>
      <c r="K72" s="267"/>
      <c r="L72" s="267"/>
      <c r="M72" s="267"/>
      <c r="N72" s="267"/>
      <c r="O72" s="267"/>
      <c r="P72" s="219"/>
      <c r="Q72" s="268"/>
      <c r="R72" s="216" t="str">
        <f ca="1">IF(ISERROR($V72),"",OFFSET('Smelter Look-up'!$C$4,$V72-4,0)&amp;"")</f>
        <v>CV United Smelting</v>
      </c>
      <c r="S72" s="224" t="str">
        <f t="shared" ca="1" si="3"/>
        <v>ID</v>
      </c>
      <c r="T72" s="224" t="str">
        <f ca="1">IF(B72="","",IF(ISERROR(MATCH($J72,SorP!$B$1:$B$6230,0)),"",INDIRECT("'SorP'!$A$"&amp;MATCH($J72,SorP!$B$1:$B$6230,0))))</f>
        <v>ID-BB</v>
      </c>
      <c r="U72" s="239"/>
      <c r="V72" s="269">
        <f ca="1">IF(C72="",NA(),MATCH($B72&amp;$C72,'Smelter Look-up'!$J:$J,0))</f>
        <v>374</v>
      </c>
      <c r="W72" s="270"/>
      <c r="X72" s="270">
        <f t="shared" ca="1" si="4"/>
        <v>0</v>
      </c>
      <c r="Y72" s="270"/>
      <c r="Z72" s="270"/>
      <c r="AB72" s="272" t="str">
        <f t="shared" ca="1" si="5"/>
        <v>TinCV United Smelting</v>
      </c>
    </row>
    <row r="73" spans="1:28" s="271" customFormat="1" ht="20.25">
      <c r="A73" s="215" t="s">
        <v>1553</v>
      </c>
      <c r="B73" s="216" t="str">
        <f ca="1">IF(LEN(A73)=0,"",INDEX('Smelter Look-up'!$A:$A,MATCH($A73,'Smelter Look-up'!$E:$E,0)))</f>
        <v>Tin</v>
      </c>
      <c r="C73" s="220" t="str">
        <f ca="1">IF(LEN(A73)=0,"",INDEX('Smelter Look-up'!$C:$C,MATCH($A73,'Smelter Look-up'!$E:$E,0)))</f>
        <v>Dowa</v>
      </c>
      <c r="D73" s="216"/>
      <c r="E73" s="216" t="str">
        <f ca="1">IF(ISERROR($V73),"",OFFSET('Smelter Look-up'!$D$4,$V73-4,0)&amp;"")</f>
        <v>JAPAN</v>
      </c>
      <c r="F73" s="216" t="str">
        <f ca="1">IF(ISERROR($V73),"",OFFSET('Smelter Look-up'!$E$4,$V73-4,0))</f>
        <v>CID000402</v>
      </c>
      <c r="G73" s="216" t="str">
        <f ca="1">IF(C73=$X$4,"Enter smelter details", IF(ISERROR($V73),"",OFFSET('Smelter Look-up'!$F$4,$V73-4,0)))</f>
        <v>RMI</v>
      </c>
      <c r="H73" s="217">
        <f ca="1">IF(ISERROR($V73),"",OFFSET('Smelter Look-up'!$G$4,$V73-4,0))</f>
        <v>0</v>
      </c>
      <c r="I73" s="218" t="str">
        <f ca="1">IF(ISERROR($V73),"",OFFSET('Smelter Look-up'!$H$4,$V73-4,0))</f>
        <v>Kosaka</v>
      </c>
      <c r="J73" s="218" t="str">
        <f ca="1">IF(ISERROR($V73),"",OFFSET('Smelter Look-up'!$I$4,$V73-4,0))</f>
        <v>Akita</v>
      </c>
      <c r="K73" s="267"/>
      <c r="L73" s="267"/>
      <c r="M73" s="267"/>
      <c r="N73" s="267"/>
      <c r="O73" s="267"/>
      <c r="P73" s="219"/>
      <c r="Q73" s="268"/>
      <c r="R73" s="216" t="str">
        <f ca="1">IF(ISERROR($V73),"",OFFSET('Smelter Look-up'!$C$4,$V73-4,0)&amp;"")</f>
        <v>Dowa</v>
      </c>
      <c r="S73" s="224" t="str">
        <f t="shared" ca="1" si="3"/>
        <v>JP</v>
      </c>
      <c r="T73" s="224" t="str">
        <f ca="1">IF(B73="","",IF(ISERROR(MATCH($J73,SorP!$B$1:$B$6230,0)),"",INDIRECT("'SorP'!$A$"&amp;MATCH($J73,SorP!$B$1:$B$6230,0))))</f>
        <v>JP-05</v>
      </c>
      <c r="U73" s="239"/>
      <c r="V73" s="269">
        <f ca="1">IF(C73="",NA(),MATCH($B73&amp;$C73,'Smelter Look-up'!$J:$J,0))</f>
        <v>377</v>
      </c>
      <c r="W73" s="270"/>
      <c r="X73" s="270">
        <f t="shared" ca="1" si="4"/>
        <v>0</v>
      </c>
      <c r="Y73" s="270"/>
      <c r="Z73" s="270"/>
      <c r="AB73" s="272" t="str">
        <f t="shared" ca="1" si="5"/>
        <v>TinDowa</v>
      </c>
    </row>
    <row r="74" spans="1:28" s="271" customFormat="1" ht="25.5">
      <c r="A74" s="215" t="s">
        <v>865</v>
      </c>
      <c r="B74" s="216" t="str">
        <f ca="1">IF(LEN(A74)=0,"",INDEX('Smelter Look-up'!$A:$A,MATCH($A74,'Smelter Look-up'!$E:$E,0)))</f>
        <v>Tin</v>
      </c>
      <c r="C74" s="220" t="str">
        <f ca="1">IF(LEN(A74)=0,"",INDEX('Smelter Look-up'!$C:$C,MATCH($A74,'Smelter Look-up'!$E:$E,0)))</f>
        <v>Fenix Metals</v>
      </c>
      <c r="D74" s="216"/>
      <c r="E74" s="216" t="str">
        <f ca="1">IF(ISERROR($V74),"",OFFSET('Smelter Look-up'!$D$4,$V74-4,0)&amp;"")</f>
        <v>POLAND</v>
      </c>
      <c r="F74" s="216" t="str">
        <f ca="1">IF(ISERROR($V74),"",OFFSET('Smelter Look-up'!$E$4,$V74-4,0))</f>
        <v>CID000468</v>
      </c>
      <c r="G74" s="216" t="str">
        <f ca="1">IF(C74=$X$4,"Enter smelter details", IF(ISERROR($V74),"",OFFSET('Smelter Look-up'!$F$4,$V74-4,0)))</f>
        <v>RMI</v>
      </c>
      <c r="H74" s="217">
        <f ca="1">IF(ISERROR($V74),"",OFFSET('Smelter Look-up'!$G$4,$V74-4,0))</f>
        <v>0</v>
      </c>
      <c r="I74" s="218" t="str">
        <f ca="1">IF(ISERROR($V74),"",OFFSET('Smelter Look-up'!$H$4,$V74-4,0))</f>
        <v>Chmielów</v>
      </c>
      <c r="J74" s="218" t="str">
        <f ca="1">IF(ISERROR($V74),"",OFFSET('Smelter Look-up'!$I$4,$V74-4,0))</f>
        <v>Podkarpackie</v>
      </c>
      <c r="K74" s="267"/>
      <c r="L74" s="267"/>
      <c r="M74" s="267"/>
      <c r="N74" s="267"/>
      <c r="O74" s="267"/>
      <c r="P74" s="219"/>
      <c r="Q74" s="268"/>
      <c r="R74" s="216" t="str">
        <f ca="1">IF(ISERROR($V74),"",OFFSET('Smelter Look-up'!$C$4,$V74-4,0)&amp;"")</f>
        <v>Fenix Metals</v>
      </c>
      <c r="S74" s="224" t="str">
        <f t="shared" ca="1" si="3"/>
        <v>PL</v>
      </c>
      <c r="T74" s="224" t="str">
        <f ca="1">IF(B74="","",IF(ISERROR(MATCH($J74,SorP!$B$1:$B$6230,0)),"",INDIRECT("'SorP'!$A$"&amp;MATCH($J74,SorP!$B$1:$B$6230,0))))</f>
        <v>PL-18</v>
      </c>
      <c r="U74" s="239"/>
      <c r="V74" s="269">
        <f ca="1">IF(C74="",NA(),MATCH($B74&amp;$C74,'Smelter Look-up'!$J:$J,0))</f>
        <v>386</v>
      </c>
      <c r="W74" s="270"/>
      <c r="X74" s="270">
        <f t="shared" ca="1" si="4"/>
        <v>0</v>
      </c>
      <c r="Y74" s="270"/>
      <c r="Z74" s="270"/>
      <c r="AB74" s="272" t="str">
        <f t="shared" ca="1" si="5"/>
        <v>TinFenix Metals</v>
      </c>
    </row>
    <row r="75" spans="1:28" s="271" customFormat="1" ht="89.25">
      <c r="A75" s="215" t="s">
        <v>866</v>
      </c>
      <c r="B75" s="216" t="str">
        <f ca="1">IF(LEN(A75)=0,"",INDEX('Smelter Look-up'!$A:$A,MATCH($A75,'Smelter Look-up'!$E:$E,0)))</f>
        <v>Tin</v>
      </c>
      <c r="C75" s="220" t="str">
        <f ca="1">IF(LEN(A75)=0,"",INDEX('Smelter Look-up'!$C:$C,MATCH($A75,'Smelter Look-up'!$E:$E,0)))</f>
        <v>Gejiu Non-Ferrous Metal Processing Co., Ltd.</v>
      </c>
      <c r="D75" s="216"/>
      <c r="E75" s="216" t="str">
        <f ca="1">IF(ISERROR($V75),"",OFFSET('Smelter Look-up'!$D$4,$V75-4,0)&amp;"")</f>
        <v>CHINA</v>
      </c>
      <c r="F75" s="216" t="str">
        <f ca="1">IF(ISERROR($V75),"",OFFSET('Smelter Look-up'!$E$4,$V75-4,0))</f>
        <v>CID000538</v>
      </c>
      <c r="G75" s="216" t="str">
        <f ca="1">IF(C75=$X$4,"Enter smelter details", IF(ISERROR($V75),"",OFFSET('Smelter Look-up'!$F$4,$V75-4,0)))</f>
        <v>RMI</v>
      </c>
      <c r="H75" s="217">
        <f ca="1">IF(ISERROR($V75),"",OFFSET('Smelter Look-up'!$G$4,$V75-4,0))</f>
        <v>0</v>
      </c>
      <c r="I75" s="218" t="str">
        <f ca="1">IF(ISERROR($V75),"",OFFSET('Smelter Look-up'!$H$4,$V75-4,0))</f>
        <v>Gejiu</v>
      </c>
      <c r="J75" s="218" t="str">
        <f ca="1">IF(ISERROR($V75),"",OFFSET('Smelter Look-up'!$I$4,$V75-4,0))</f>
        <v>Yunnan Sheng</v>
      </c>
      <c r="K75" s="267"/>
      <c r="L75" s="267"/>
      <c r="M75" s="267"/>
      <c r="N75" s="267"/>
      <c r="O75" s="267"/>
      <c r="P75" s="219"/>
      <c r="Q75" s="268"/>
      <c r="R75" s="216" t="str">
        <f ca="1">IF(ISERROR($V75),"",OFFSET('Smelter Look-up'!$C$4,$V75-4,0)&amp;"")</f>
        <v>Gejiu Non-Ferrous Metal Processing Co., Ltd.</v>
      </c>
      <c r="S75" s="224" t="str">
        <f t="shared" ca="1" si="3"/>
        <v>CN</v>
      </c>
      <c r="T75" s="224" t="str">
        <f ca="1">IF(B75="","",IF(ISERROR(MATCH($J75,SorP!$B$1:$B$6230,0)),"",INDIRECT("'SorP'!$A$"&amp;MATCH($J75,SorP!$B$1:$B$6230,0))))</f>
        <v>CN-YN</v>
      </c>
      <c r="U75" s="239"/>
      <c r="V75" s="269">
        <f ca="1">IF(C75="",NA(),MATCH($B75&amp;$C75,'Smelter Look-up'!$J:$J,0))</f>
        <v>393</v>
      </c>
      <c r="W75" s="270"/>
      <c r="X75" s="270">
        <f t="shared" ca="1" si="4"/>
        <v>0</v>
      </c>
      <c r="Y75" s="270"/>
      <c r="Z75" s="270"/>
      <c r="AB75" s="272" t="str">
        <f t="shared" ca="1" si="5"/>
        <v>TinGejiu Non-Ferrous Metal Processing Co., Ltd.</v>
      </c>
    </row>
    <row r="76" spans="1:28" s="271" customFormat="1" ht="89.25">
      <c r="A76" s="215" t="s">
        <v>869</v>
      </c>
      <c r="B76" s="216" t="str">
        <f ca="1">IF(LEN(A76)=0,"",INDEX('Smelter Look-up'!$A:$A,MATCH($A76,'Smelter Look-up'!$E:$E,0)))</f>
        <v>Tin</v>
      </c>
      <c r="C76" s="220" t="str">
        <f ca="1">IF(LEN(A76)=0,"",INDEX('Smelter Look-up'!$C:$C,MATCH($A76,'Smelter Look-up'!$E:$E,0)))</f>
        <v>Gejiu Kai Meng Industry and Trade LLC</v>
      </c>
      <c r="D76" s="216"/>
      <c r="E76" s="216" t="str">
        <f ca="1">IF(ISERROR($V76),"",OFFSET('Smelter Look-up'!$D$4,$V76-4,0)&amp;"")</f>
        <v>CHINA</v>
      </c>
      <c r="F76" s="216" t="str">
        <f ca="1">IF(ISERROR($V76),"",OFFSET('Smelter Look-up'!$E$4,$V76-4,0))</f>
        <v>CID000942</v>
      </c>
      <c r="G76" s="216" t="str">
        <f ca="1">IF(C76=$X$4,"Enter smelter details", IF(ISERROR($V76),"",OFFSET('Smelter Look-up'!$F$4,$V76-4,0)))</f>
        <v>RMI</v>
      </c>
      <c r="H76" s="217">
        <f ca="1">IF(ISERROR($V76),"",OFFSET('Smelter Look-up'!$G$4,$V76-4,0))</f>
        <v>0</v>
      </c>
      <c r="I76" s="218" t="str">
        <f ca="1">IF(ISERROR($V76),"",OFFSET('Smelter Look-up'!$H$4,$V76-4,0))</f>
        <v>Gejiu</v>
      </c>
      <c r="J76" s="218" t="str">
        <f ca="1">IF(ISERROR($V76),"",OFFSET('Smelter Look-up'!$I$4,$V76-4,0))</f>
        <v>Yunnan Sheng</v>
      </c>
      <c r="K76" s="267"/>
      <c r="L76" s="267"/>
      <c r="M76" s="267"/>
      <c r="N76" s="267"/>
      <c r="O76" s="267"/>
      <c r="P76" s="219"/>
      <c r="Q76" s="268"/>
      <c r="R76" s="216" t="str">
        <f ca="1">IF(ISERROR($V76),"",OFFSET('Smelter Look-up'!$C$4,$V76-4,0)&amp;"")</f>
        <v>Gejiu Kai Meng Industry and Trade LLC</v>
      </c>
      <c r="S76" s="224" t="str">
        <f t="shared" ca="1" si="3"/>
        <v>CN</v>
      </c>
      <c r="T76" s="224" t="str">
        <f ca="1">IF(B76="","",IF(ISERROR(MATCH($J76,SorP!$B$1:$B$6230,0)),"",INDIRECT("'SorP'!$A$"&amp;MATCH($J76,SorP!$B$1:$B$6230,0))))</f>
        <v>CN-YN</v>
      </c>
      <c r="U76" s="239"/>
      <c r="V76" s="269">
        <f ca="1">IF(C76="",NA(),MATCH($B76&amp;$C76,'Smelter Look-up'!$J:$J,0))</f>
        <v>392</v>
      </c>
      <c r="W76" s="270"/>
      <c r="X76" s="270">
        <f t="shared" ca="1" si="4"/>
        <v>0</v>
      </c>
      <c r="Y76" s="270"/>
      <c r="Z76" s="270"/>
      <c r="AB76" s="272" t="str">
        <f t="shared" ca="1" si="5"/>
        <v>TinGejiu Kai Meng Industry and Trade LLC</v>
      </c>
    </row>
    <row r="77" spans="1:28" s="271" customFormat="1" ht="63.75">
      <c r="A77" s="215" t="s">
        <v>870</v>
      </c>
      <c r="B77" s="216" t="str">
        <f ca="1">IF(LEN(A77)=0,"",INDEX('Smelter Look-up'!$A:$A,MATCH($A77,'Smelter Look-up'!$E:$E,0)))</f>
        <v>Tin</v>
      </c>
      <c r="C77" s="220" t="str">
        <f ca="1">IF(LEN(A77)=0,"",INDEX('Smelter Look-up'!$C:$C,MATCH($A77,'Smelter Look-up'!$E:$E,0)))</f>
        <v>China Tin Group Co., Ltd.</v>
      </c>
      <c r="D77" s="216"/>
      <c r="E77" s="216" t="str">
        <f ca="1">IF(ISERROR($V77),"",OFFSET('Smelter Look-up'!$D$4,$V77-4,0)&amp;"")</f>
        <v>CHINA</v>
      </c>
      <c r="F77" s="216" t="str">
        <f ca="1">IF(ISERROR($V77),"",OFFSET('Smelter Look-up'!$E$4,$V77-4,0))</f>
        <v>CID001070</v>
      </c>
      <c r="G77" s="216" t="str">
        <f ca="1">IF(C77=$X$4,"Enter smelter details", IF(ISERROR($V77),"",OFFSET('Smelter Look-up'!$F$4,$V77-4,0)))</f>
        <v>RMI</v>
      </c>
      <c r="H77" s="217">
        <f ca="1">IF(ISERROR($V77),"",OFFSET('Smelter Look-up'!$G$4,$V77-4,0))</f>
        <v>0</v>
      </c>
      <c r="I77" s="218" t="str">
        <f ca="1">IF(ISERROR($V77),"",OFFSET('Smelter Look-up'!$H$4,$V77-4,0))</f>
        <v>Laibin</v>
      </c>
      <c r="J77" s="218" t="str">
        <f ca="1">IF(ISERROR($V77),"",OFFSET('Smelter Look-up'!$I$4,$V77-4,0))</f>
        <v>Guangxi Zhuangzu Zizhiqu</v>
      </c>
      <c r="K77" s="267"/>
      <c r="L77" s="267"/>
      <c r="M77" s="267"/>
      <c r="N77" s="267"/>
      <c r="O77" s="267"/>
      <c r="P77" s="219"/>
      <c r="Q77" s="268"/>
      <c r="R77" s="216" t="str">
        <f ca="1">IF(ISERROR($V77),"",OFFSET('Smelter Look-up'!$C$4,$V77-4,0)&amp;"")</f>
        <v>China Tin Group Co., Ltd.</v>
      </c>
      <c r="S77" s="224" t="str">
        <f t="shared" ca="1" si="3"/>
        <v>CN</v>
      </c>
      <c r="T77" s="224" t="str">
        <f ca="1">IF(B77="","",IF(ISERROR(MATCH($J77,SorP!$B$1:$B$6230,0)),"",INDIRECT("'SorP'!$A$"&amp;MATCH($J77,SorP!$B$1:$B$6230,0))))</f>
        <v>CN-GX</v>
      </c>
      <c r="U77" s="239"/>
      <c r="V77" s="269">
        <f ca="1">IF(C77="",NA(),MATCH($B77&amp;$C77,'Smelter Look-up'!$J:$J,0))</f>
        <v>362</v>
      </c>
      <c r="W77" s="270"/>
      <c r="X77" s="270">
        <f t="shared" ca="1" si="4"/>
        <v>0</v>
      </c>
      <c r="Y77" s="270"/>
      <c r="Z77" s="270"/>
      <c r="AB77" s="272" t="str">
        <f t="shared" ca="1" si="5"/>
        <v>TinChina Tin Group Co., Ltd.</v>
      </c>
    </row>
    <row r="78" spans="1:28" s="271" customFormat="1" ht="76.5">
      <c r="A78" s="215" t="s">
        <v>871</v>
      </c>
      <c r="B78" s="216" t="str">
        <f ca="1">IF(LEN(A78)=0,"",INDEX('Smelter Look-up'!$A:$A,MATCH($A78,'Smelter Look-up'!$E:$E,0)))</f>
        <v>Tin</v>
      </c>
      <c r="C78" s="220" t="str">
        <f ca="1">IF(LEN(A78)=0,"",INDEX('Smelter Look-up'!$C:$C,MATCH($A78,'Smelter Look-up'!$E:$E,0)))</f>
        <v>Malaysia Smelting Corporation (MSC)</v>
      </c>
      <c r="D78" s="216"/>
      <c r="E78" s="216" t="str">
        <f ca="1">IF(ISERROR($V78),"",OFFSET('Smelter Look-up'!$D$4,$V78-4,0)&amp;"")</f>
        <v>MALAYSIA</v>
      </c>
      <c r="F78" s="216" t="str">
        <f ca="1">IF(ISERROR($V78),"",OFFSET('Smelter Look-up'!$E$4,$V78-4,0))</f>
        <v>CID001105</v>
      </c>
      <c r="G78" s="216" t="str">
        <f ca="1">IF(C78=$X$4,"Enter smelter details", IF(ISERROR($V78),"",OFFSET('Smelter Look-up'!$F$4,$V78-4,0)))</f>
        <v>RMI</v>
      </c>
      <c r="H78" s="217">
        <f ca="1">IF(ISERROR($V78),"",OFFSET('Smelter Look-up'!$G$4,$V78-4,0))</f>
        <v>0</v>
      </c>
      <c r="I78" s="218" t="str">
        <f ca="1">IF(ISERROR($V78),"",OFFSET('Smelter Look-up'!$H$4,$V78-4,0))</f>
        <v>Butterworth</v>
      </c>
      <c r="J78" s="218" t="str">
        <f ca="1">IF(ISERROR($V78),"",OFFSET('Smelter Look-up'!$I$4,$V78-4,0))</f>
        <v>Pulau Pinang</v>
      </c>
      <c r="K78" s="267"/>
      <c r="L78" s="267"/>
      <c r="M78" s="267"/>
      <c r="N78" s="267"/>
      <c r="O78" s="267"/>
      <c r="P78" s="219"/>
      <c r="Q78" s="268"/>
      <c r="R78" s="216" t="str">
        <f ca="1">IF(ISERROR($V78),"",OFFSET('Smelter Look-up'!$C$4,$V78-4,0)&amp;"")</f>
        <v>Malaysia Smelting Corporation (MSC)</v>
      </c>
      <c r="S78" s="224" t="str">
        <f t="shared" ca="1" si="3"/>
        <v>MY</v>
      </c>
      <c r="T78" s="224" t="str">
        <f ca="1">IF(B78="","",IF(ISERROR(MATCH($J78,SorP!$B$1:$B$6230,0)),"",INDIRECT("'SorP'!$A$"&amp;MATCH($J78,SorP!$B$1:$B$6230,0))))</f>
        <v>MY-07</v>
      </c>
      <c r="U78" s="239"/>
      <c r="V78" s="269">
        <f ca="1">IF(C78="",NA(),MATCH($B78&amp;$C78,'Smelter Look-up'!$J:$J,0))</f>
        <v>418</v>
      </c>
      <c r="W78" s="270"/>
      <c r="X78" s="270">
        <f t="shared" ca="1" si="4"/>
        <v>0</v>
      </c>
      <c r="Y78" s="270"/>
      <c r="Z78" s="270"/>
      <c r="AB78" s="272" t="str">
        <f t="shared" ca="1" si="5"/>
        <v>TinMalaysia Smelting Corporation (MSC)</v>
      </c>
    </row>
    <row r="79" spans="1:28" s="271" customFormat="1" ht="51">
      <c r="A79" s="215" t="s">
        <v>2032</v>
      </c>
      <c r="B79" s="216" t="str">
        <f ca="1">IF(LEN(A79)=0,"",INDEX('Smelter Look-up'!$A:$A,MATCH($A79,'Smelter Look-up'!$E:$E,0)))</f>
        <v>Tin</v>
      </c>
      <c r="C79" s="220" t="str">
        <f ca="1">IF(LEN(A79)=0,"",INDEX('Smelter Look-up'!$C:$C,MATCH($A79,'Smelter Look-up'!$E:$E,0)))</f>
        <v>Metallic Resources, Inc.</v>
      </c>
      <c r="D79" s="216"/>
      <c r="E79" s="216" t="str">
        <f ca="1">IF(ISERROR($V79),"",OFFSET('Smelter Look-up'!$D$4,$V79-4,0)&amp;"")</f>
        <v>UNITED STATES OF AMERICA</v>
      </c>
      <c r="F79" s="216" t="str">
        <f ca="1">IF(ISERROR($V79),"",OFFSET('Smelter Look-up'!$E$4,$V79-4,0))</f>
        <v>CID001142</v>
      </c>
      <c r="G79" s="216" t="str">
        <f ca="1">IF(C79=$X$4,"Enter smelter details", IF(ISERROR($V79),"",OFFSET('Smelter Look-up'!$F$4,$V79-4,0)))</f>
        <v>RMI</v>
      </c>
      <c r="H79" s="217">
        <f ca="1">IF(ISERROR($V79),"",OFFSET('Smelter Look-up'!$G$4,$V79-4,0))</f>
        <v>0</v>
      </c>
      <c r="I79" s="218" t="str">
        <f ca="1">IF(ISERROR($V79),"",OFFSET('Smelter Look-up'!$H$4,$V79-4,0))</f>
        <v>Twinsburg</v>
      </c>
      <c r="J79" s="218" t="str">
        <f ca="1">IF(ISERROR($V79),"",OFFSET('Smelter Look-up'!$I$4,$V79-4,0))</f>
        <v>Ohio</v>
      </c>
      <c r="K79" s="267"/>
      <c r="L79" s="267"/>
      <c r="M79" s="267"/>
      <c r="N79" s="267"/>
      <c r="O79" s="267"/>
      <c r="P79" s="219"/>
      <c r="Q79" s="268"/>
      <c r="R79" s="216" t="str">
        <f ca="1">IF(ISERROR($V79),"",OFFSET('Smelter Look-up'!$C$4,$V79-4,0)&amp;"")</f>
        <v>Metallic Resources, Inc.</v>
      </c>
      <c r="S79" s="224" t="str">
        <f t="shared" ca="1" si="3"/>
        <v>US</v>
      </c>
      <c r="T79" s="224" t="str">
        <f ca="1">IF(B79="","",IF(ISERROR(MATCH($J79,SorP!$B$1:$B$6230,0)),"",INDIRECT("'SorP'!$A$"&amp;MATCH($J79,SorP!$B$1:$B$6230,0))))</f>
        <v>US-OH</v>
      </c>
      <c r="U79" s="239"/>
      <c r="V79" s="269">
        <f ca="1">IF(C79="",NA(),MATCH($B79&amp;$C79,'Smelter Look-up'!$J:$J,0))</f>
        <v>422</v>
      </c>
      <c r="W79" s="270"/>
      <c r="X79" s="270">
        <f t="shared" ca="1" si="4"/>
        <v>0</v>
      </c>
      <c r="Y79" s="270"/>
      <c r="Z79" s="270"/>
      <c r="AB79" s="272" t="str">
        <f t="shared" ca="1" si="5"/>
        <v>TinMetallic Resources, Inc.</v>
      </c>
    </row>
    <row r="80" spans="1:28" s="271" customFormat="1" ht="51">
      <c r="A80" s="215" t="s">
        <v>872</v>
      </c>
      <c r="B80" s="216" t="str">
        <f ca="1">IF(LEN(A80)=0,"",INDEX('Smelter Look-up'!$A:$A,MATCH($A80,'Smelter Look-up'!$E:$E,0)))</f>
        <v>Tin</v>
      </c>
      <c r="C80" s="220" t="str">
        <f ca="1">IF(LEN(A80)=0,"",INDEX('Smelter Look-up'!$C:$C,MATCH($A80,'Smelter Look-up'!$E:$E,0)))</f>
        <v>Mineracao Taboca S.A.</v>
      </c>
      <c r="D80" s="216"/>
      <c r="E80" s="216" t="str">
        <f ca="1">IF(ISERROR($V80),"",OFFSET('Smelter Look-up'!$D$4,$V80-4,0)&amp;"")</f>
        <v>BRAZIL</v>
      </c>
      <c r="F80" s="216" t="str">
        <f ca="1">IF(ISERROR($V80),"",OFFSET('Smelter Look-up'!$E$4,$V80-4,0))</f>
        <v>CID001173</v>
      </c>
      <c r="G80" s="216" t="str">
        <f ca="1">IF(C80=$X$4,"Enter smelter details", IF(ISERROR($V80),"",OFFSET('Smelter Look-up'!$F$4,$V80-4,0)))</f>
        <v>RMI</v>
      </c>
      <c r="H80" s="217">
        <f ca="1">IF(ISERROR($V80),"",OFFSET('Smelter Look-up'!$G$4,$V80-4,0))</f>
        <v>0</v>
      </c>
      <c r="I80" s="218" t="str">
        <f ca="1">IF(ISERROR($V80),"",OFFSET('Smelter Look-up'!$H$4,$V80-4,0))</f>
        <v>Bairro Guarapiranga</v>
      </c>
      <c r="J80" s="218" t="str">
        <f ca="1">IF(ISERROR($V80),"",OFFSET('Smelter Look-up'!$I$4,$V80-4,0))</f>
        <v>São Paulo</v>
      </c>
      <c r="K80" s="267"/>
      <c r="L80" s="267"/>
      <c r="M80" s="267"/>
      <c r="N80" s="267"/>
      <c r="O80" s="267"/>
      <c r="P80" s="219"/>
      <c r="Q80" s="268"/>
      <c r="R80" s="216" t="str">
        <f ca="1">IF(ISERROR($V80),"",OFFSET('Smelter Look-up'!$C$4,$V80-4,0)&amp;"")</f>
        <v>Mineracao Taboca S.A.</v>
      </c>
      <c r="S80" s="224" t="str">
        <f t="shared" ca="1" si="3"/>
        <v>BR</v>
      </c>
      <c r="T80" s="224" t="str">
        <f ca="1">IF(B80="","",IF(ISERROR(MATCH($J80,SorP!$B$1:$B$6230,0)),"",INDIRECT("'SorP'!$A$"&amp;MATCH($J80,SorP!$B$1:$B$6230,0))))</f>
        <v>BR-SP</v>
      </c>
      <c r="U80" s="239"/>
      <c r="V80" s="269">
        <f ca="1">IF(C80="",NA(),MATCH($B80&amp;$C80,'Smelter Look-up'!$J:$J,0))</f>
        <v>425</v>
      </c>
      <c r="W80" s="270"/>
      <c r="X80" s="270">
        <f t="shared" ca="1" si="4"/>
        <v>0</v>
      </c>
      <c r="Y80" s="270"/>
      <c r="Z80" s="270"/>
      <c r="AB80" s="272" t="str">
        <f t="shared" ca="1" si="5"/>
        <v>TinMineracao Taboca S.A.</v>
      </c>
    </row>
    <row r="81" spans="1:28" s="271" customFormat="1" ht="25.5">
      <c r="A81" s="215" t="s">
        <v>873</v>
      </c>
      <c r="B81" s="216" t="str">
        <f ca="1">IF(LEN(A81)=0,"",INDEX('Smelter Look-up'!$A:$A,MATCH($A81,'Smelter Look-up'!$E:$E,0)))</f>
        <v>Tin</v>
      </c>
      <c r="C81" s="220" t="str">
        <f ca="1">IF(LEN(A81)=0,"",INDEX('Smelter Look-up'!$C:$C,MATCH($A81,'Smelter Look-up'!$E:$E,0)))</f>
        <v>Minsur</v>
      </c>
      <c r="D81" s="216"/>
      <c r="E81" s="216" t="str">
        <f ca="1">IF(ISERROR($V81),"",OFFSET('Smelter Look-up'!$D$4,$V81-4,0)&amp;"")</f>
        <v>PERU</v>
      </c>
      <c r="F81" s="216" t="str">
        <f ca="1">IF(ISERROR($V81),"",OFFSET('Smelter Look-up'!$E$4,$V81-4,0))</f>
        <v>CID001182</v>
      </c>
      <c r="G81" s="216" t="str">
        <f ca="1">IF(C81=$X$4,"Enter smelter details", IF(ISERROR($V81),"",OFFSET('Smelter Look-up'!$F$4,$V81-4,0)))</f>
        <v>RMI</v>
      </c>
      <c r="H81" s="217">
        <f ca="1">IF(ISERROR($V81),"",OFFSET('Smelter Look-up'!$G$4,$V81-4,0))</f>
        <v>0</v>
      </c>
      <c r="I81" s="218" t="str">
        <f ca="1">IF(ISERROR($V81),"",OFFSET('Smelter Look-up'!$H$4,$V81-4,0))</f>
        <v>Paracas</v>
      </c>
      <c r="J81" s="218" t="str">
        <f ca="1">IF(ISERROR($V81),"",OFFSET('Smelter Look-up'!$I$4,$V81-4,0))</f>
        <v>Ika</v>
      </c>
      <c r="K81" s="267"/>
      <c r="L81" s="267"/>
      <c r="M81" s="267"/>
      <c r="N81" s="267"/>
      <c r="O81" s="267"/>
      <c r="P81" s="219"/>
      <c r="Q81" s="268"/>
      <c r="R81" s="216" t="str">
        <f ca="1">IF(ISERROR($V81),"",OFFSET('Smelter Look-up'!$C$4,$V81-4,0)&amp;"")</f>
        <v>Minsur</v>
      </c>
      <c r="S81" s="224" t="str">
        <f t="shared" ca="1" si="3"/>
        <v>PE</v>
      </c>
      <c r="T81" s="224" t="str">
        <f ca="1">IF(B81="","",IF(ISERROR(MATCH($J81,SorP!$B$1:$B$6230,0)),"",INDIRECT("'SorP'!$A$"&amp;MATCH($J81,SorP!$B$1:$B$6230,0))))</f>
        <v>PE-ICA</v>
      </c>
      <c r="U81" s="239"/>
      <c r="V81" s="269">
        <f ca="1">IF(C81="",NA(),MATCH($B81&amp;$C81,'Smelter Look-up'!$J:$J,0))</f>
        <v>428</v>
      </c>
      <c r="W81" s="270"/>
      <c r="X81" s="270">
        <f t="shared" ca="1" si="4"/>
        <v>0</v>
      </c>
      <c r="Y81" s="270"/>
      <c r="Z81" s="270"/>
      <c r="AB81" s="272" t="str">
        <f t="shared" ca="1" si="5"/>
        <v>TinMinsur</v>
      </c>
    </row>
    <row r="82" spans="1:28" s="271" customFormat="1" ht="76.5">
      <c r="A82" s="215" t="s">
        <v>874</v>
      </c>
      <c r="B82" s="216" t="str">
        <f ca="1">IF(LEN(A82)=0,"",INDEX('Smelter Look-up'!$A:$A,MATCH($A82,'Smelter Look-up'!$E:$E,0)))</f>
        <v>Tin</v>
      </c>
      <c r="C82" s="220" t="str">
        <f ca="1">IF(LEN(A82)=0,"",INDEX('Smelter Look-up'!$C:$C,MATCH($A82,'Smelter Look-up'!$E:$E,0)))</f>
        <v>Mitsubishi Materials Corporation</v>
      </c>
      <c r="D82" s="216"/>
      <c r="E82" s="216" t="str">
        <f ca="1">IF(ISERROR($V82),"",OFFSET('Smelter Look-up'!$D$4,$V82-4,0)&amp;"")</f>
        <v>JAPAN</v>
      </c>
      <c r="F82" s="216" t="str">
        <f ca="1">IF(ISERROR($V82),"",OFFSET('Smelter Look-up'!$E$4,$V82-4,0))</f>
        <v>CID001191</v>
      </c>
      <c r="G82" s="216" t="str">
        <f ca="1">IF(C82=$X$4,"Enter smelter details", IF(ISERROR($V82),"",OFFSET('Smelter Look-up'!$F$4,$V82-4,0)))</f>
        <v>RMI</v>
      </c>
      <c r="H82" s="217">
        <f ca="1">IF(ISERROR($V82),"",OFFSET('Smelter Look-up'!$G$4,$V82-4,0))</f>
        <v>0</v>
      </c>
      <c r="I82" s="218" t="str">
        <f ca="1">IF(ISERROR($V82),"",OFFSET('Smelter Look-up'!$H$4,$V82-4,0))</f>
        <v>Asago</v>
      </c>
      <c r="J82" s="218" t="str">
        <f ca="1">IF(ISERROR($V82),"",OFFSET('Smelter Look-up'!$I$4,$V82-4,0))</f>
        <v>Hyogo</v>
      </c>
      <c r="K82" s="267"/>
      <c r="L82" s="267"/>
      <c r="M82" s="267"/>
      <c r="N82" s="267"/>
      <c r="O82" s="267"/>
      <c r="P82" s="219"/>
      <c r="Q82" s="268"/>
      <c r="R82" s="216" t="str">
        <f ca="1">IF(ISERROR($V82),"",OFFSET('Smelter Look-up'!$C$4,$V82-4,0)&amp;"")</f>
        <v>Mitsubishi Materials Corporation</v>
      </c>
      <c r="S82" s="224" t="str">
        <f t="shared" ca="1" si="3"/>
        <v>JP</v>
      </c>
      <c r="T82" s="224" t="str">
        <f ca="1">IF(B82="","",IF(ISERROR(MATCH($J82,SorP!$B$1:$B$6230,0)),"",INDIRECT("'SorP'!$A$"&amp;MATCH($J82,SorP!$B$1:$B$6230,0))))</f>
        <v>JP-28</v>
      </c>
      <c r="U82" s="239"/>
      <c r="V82" s="269">
        <f ca="1">IF(C82="",NA(),MATCH($B82&amp;$C82,'Smelter Look-up'!$J:$J,0))</f>
        <v>429</v>
      </c>
      <c r="W82" s="270"/>
      <c r="X82" s="270">
        <f t="shared" ca="1" si="4"/>
        <v>0</v>
      </c>
      <c r="Y82" s="270"/>
      <c r="Z82" s="270"/>
      <c r="AB82" s="272" t="str">
        <f t="shared" ca="1" si="5"/>
        <v>TinMitsubishi Materials Corporation</v>
      </c>
    </row>
    <row r="83" spans="1:28" s="271" customFormat="1" ht="63.75">
      <c r="A83" s="215" t="s">
        <v>2040</v>
      </c>
      <c r="B83" s="216" t="str">
        <f ca="1">IF(LEN(A83)=0,"",INDEX('Smelter Look-up'!$A:$A,MATCH($A83,'Smelter Look-up'!$E:$E,0)))</f>
        <v>Tin</v>
      </c>
      <c r="C83" s="220" t="str">
        <f ca="1">IF(LEN(A83)=0,"",INDEX('Smelter Look-up'!$C:$C,MATCH($A83,'Smelter Look-up'!$E:$E,0)))</f>
        <v>Jiangxi New Nanshan Technology Ltd.</v>
      </c>
      <c r="D83" s="216"/>
      <c r="E83" s="216" t="str">
        <f ca="1">IF(ISERROR($V83),"",OFFSET('Smelter Look-up'!$D$4,$V83-4,0)&amp;"")</f>
        <v>CHINA</v>
      </c>
      <c r="F83" s="216" t="str">
        <f ca="1">IF(ISERROR($V83),"",OFFSET('Smelter Look-up'!$E$4,$V83-4,0))</f>
        <v>CID001231</v>
      </c>
      <c r="G83" s="216" t="str">
        <f ca="1">IF(C83=$X$4,"Enter smelter details", IF(ISERROR($V83),"",OFFSET('Smelter Look-up'!$F$4,$V83-4,0)))</f>
        <v>RMI</v>
      </c>
      <c r="H83" s="217">
        <f ca="1">IF(ISERROR($V83),"",OFFSET('Smelter Look-up'!$G$4,$V83-4,0))</f>
        <v>0</v>
      </c>
      <c r="I83" s="218" t="str">
        <f ca="1">IF(ISERROR($V83),"",OFFSET('Smelter Look-up'!$H$4,$V83-4,0))</f>
        <v>Ganzhou</v>
      </c>
      <c r="J83" s="218" t="str">
        <f ca="1">IF(ISERROR($V83),"",OFFSET('Smelter Look-up'!$I$4,$V83-4,0))</f>
        <v>Jiangxi Sheng</v>
      </c>
      <c r="K83" s="267"/>
      <c r="L83" s="267"/>
      <c r="M83" s="267"/>
      <c r="N83" s="267"/>
      <c r="O83" s="267"/>
      <c r="P83" s="219"/>
      <c r="Q83" s="268"/>
      <c r="R83" s="216" t="str">
        <f ca="1">IF(ISERROR($V83),"",OFFSET('Smelter Look-up'!$C$4,$V83-4,0)&amp;"")</f>
        <v>Jiangxi New Nanshan Technology Ltd.</v>
      </c>
      <c r="S83" s="224" t="str">
        <f t="shared" ca="1" si="3"/>
        <v>CN</v>
      </c>
      <c r="T83" s="224" t="str">
        <f ca="1">IF(B83="","",IF(ISERROR(MATCH($J83,SorP!$B$1:$B$6230,0)),"",INDIRECT("'SorP'!$A$"&amp;MATCH($J83,SorP!$B$1:$B$6230,0))))</f>
        <v>CN-JX</v>
      </c>
      <c r="U83" s="239"/>
      <c r="V83" s="269">
        <f ca="1">IF(C83="",NA(),MATCH($B83&amp;$C83,'Smelter Look-up'!$J:$J,0))</f>
        <v>409</v>
      </c>
      <c r="W83" s="270"/>
      <c r="X83" s="270">
        <f t="shared" ca="1" si="4"/>
        <v>0</v>
      </c>
      <c r="Y83" s="270"/>
      <c r="Z83" s="270"/>
      <c r="AB83" s="272" t="str">
        <f t="shared" ca="1" si="5"/>
        <v>TinJiangxi New Nanshan Technology Ltd.</v>
      </c>
    </row>
    <row r="84" spans="1:28" s="271" customFormat="1" ht="76.5">
      <c r="A84" s="215" t="s">
        <v>876</v>
      </c>
      <c r="B84" s="216" t="str">
        <f ca="1">IF(LEN(A84)=0,"",INDEX('Smelter Look-up'!$A:$A,MATCH($A84,'Smelter Look-up'!$E:$E,0)))</f>
        <v>Tin</v>
      </c>
      <c r="C84" s="220" t="str">
        <f ca="1">IF(LEN(A84)=0,"",INDEX('Smelter Look-up'!$C:$C,MATCH($A84,'Smelter Look-up'!$E:$E,0)))</f>
        <v>O.M. Manufacturing (Thailand) Co., Ltd.</v>
      </c>
      <c r="D84" s="216"/>
      <c r="E84" s="216" t="str">
        <f ca="1">IF(ISERROR($V84),"",OFFSET('Smelter Look-up'!$D$4,$V84-4,0)&amp;"")</f>
        <v>THAILAND</v>
      </c>
      <c r="F84" s="216" t="str">
        <f ca="1">IF(ISERROR($V84),"",OFFSET('Smelter Look-up'!$E$4,$V84-4,0))</f>
        <v>CID001314</v>
      </c>
      <c r="G84" s="216" t="str">
        <f ca="1">IF(C84=$X$4,"Enter smelter details", IF(ISERROR($V84),"",OFFSET('Smelter Look-up'!$F$4,$V84-4,0)))</f>
        <v>RMI</v>
      </c>
      <c r="H84" s="217">
        <f ca="1">IF(ISERROR($V84),"",OFFSET('Smelter Look-up'!$G$4,$V84-4,0))</f>
        <v>0</v>
      </c>
      <c r="I84" s="218" t="str">
        <f ca="1">IF(ISERROR($V84),"",OFFSET('Smelter Look-up'!$H$4,$V84-4,0))</f>
        <v>Nongkham Sriracha</v>
      </c>
      <c r="J84" s="218" t="str">
        <f ca="1">IF(ISERROR($V84),"",OFFSET('Smelter Look-up'!$I$4,$V84-4,0))</f>
        <v>Chon Buri</v>
      </c>
      <c r="K84" s="267"/>
      <c r="L84" s="267"/>
      <c r="M84" s="267"/>
      <c r="N84" s="267"/>
      <c r="O84" s="267"/>
      <c r="P84" s="219"/>
      <c r="Q84" s="268"/>
      <c r="R84" s="216" t="str">
        <f ca="1">IF(ISERROR($V84),"",OFFSET('Smelter Look-up'!$C$4,$V84-4,0)&amp;"")</f>
        <v>O.M. Manufacturing (Thailand) Co., Ltd.</v>
      </c>
      <c r="S84" s="224" t="str">
        <f t="shared" ca="1" si="3"/>
        <v>TH</v>
      </c>
      <c r="T84" s="224" t="str">
        <f ca="1">IF(B84="","",IF(ISERROR(MATCH($J84,SorP!$B$1:$B$6230,0)),"",INDIRECT("'SorP'!$A$"&amp;MATCH($J84,SorP!$B$1:$B$6230,0))))</f>
        <v>TH-20</v>
      </c>
      <c r="U84" s="239"/>
      <c r="V84" s="269">
        <f ca="1">IF(C84="",NA(),MATCH($B84&amp;$C84,'Smelter Look-up'!$J:$J,0))</f>
        <v>435</v>
      </c>
      <c r="W84" s="270"/>
      <c r="X84" s="270">
        <f t="shared" ca="1" si="4"/>
        <v>0</v>
      </c>
      <c r="Y84" s="270"/>
      <c r="Z84" s="270"/>
      <c r="AB84" s="272" t="str">
        <f t="shared" ca="1" si="5"/>
        <v>TinO.M. Manufacturing (Thailand) Co., Ltd.</v>
      </c>
    </row>
    <row r="85" spans="1:28" s="271" customFormat="1" ht="63.75">
      <c r="A85" s="215" t="s">
        <v>877</v>
      </c>
      <c r="B85" s="216" t="str">
        <f ca="1">IF(LEN(A85)=0,"",INDEX('Smelter Look-up'!$A:$A,MATCH($A85,'Smelter Look-up'!$E:$E,0)))</f>
        <v>Tin</v>
      </c>
      <c r="C85" s="220" t="str">
        <f ca="1">IF(LEN(A85)=0,"",INDEX('Smelter Look-up'!$C:$C,MATCH($A85,'Smelter Look-up'!$E:$E,0)))</f>
        <v>Operaciones Metalurgicas S.A.</v>
      </c>
      <c r="D85" s="216"/>
      <c r="E85" s="216" t="str">
        <f ca="1">IF(ISERROR($V85),"",OFFSET('Smelter Look-up'!$D$4,$V85-4,0)&amp;"")</f>
        <v>BOLIVIA (PLURINATIONAL STATE OF)</v>
      </c>
      <c r="F85" s="216" t="str">
        <f ca="1">IF(ISERROR($V85),"",OFFSET('Smelter Look-up'!$E$4,$V85-4,0))</f>
        <v>CID001337</v>
      </c>
      <c r="G85" s="216" t="str">
        <f ca="1">IF(C85=$X$4,"Enter smelter details", IF(ISERROR($V85),"",OFFSET('Smelter Look-up'!$F$4,$V85-4,0)))</f>
        <v>RMI</v>
      </c>
      <c r="H85" s="217">
        <f ca="1">IF(ISERROR($V85),"",OFFSET('Smelter Look-up'!$G$4,$V85-4,0))</f>
        <v>0</v>
      </c>
      <c r="I85" s="218" t="str">
        <f ca="1">IF(ISERROR($V85),"",OFFSET('Smelter Look-up'!$H$4,$V85-4,0))</f>
        <v>Oruro</v>
      </c>
      <c r="J85" s="218" t="str">
        <f ca="1">IF(ISERROR($V85),"",OFFSET('Smelter Look-up'!$I$4,$V85-4,0))</f>
        <v>Oruro</v>
      </c>
      <c r="K85" s="267"/>
      <c r="L85" s="267"/>
      <c r="M85" s="267"/>
      <c r="N85" s="267"/>
      <c r="O85" s="267"/>
      <c r="P85" s="219"/>
      <c r="Q85" s="268"/>
      <c r="R85" s="216" t="str">
        <f ca="1">IF(ISERROR($V85),"",OFFSET('Smelter Look-up'!$C$4,$V85-4,0)&amp;"")</f>
        <v>Operaciones Metalurgicas S.A.</v>
      </c>
      <c r="S85" s="224" t="str">
        <f t="shared" ca="1" si="3"/>
        <v>BO</v>
      </c>
      <c r="T85" s="224" t="str">
        <f ca="1">IF(B85="","",IF(ISERROR(MATCH($J85,SorP!$B$1:$B$6230,0)),"",INDIRECT("'SorP'!$A$"&amp;MATCH($J85,SorP!$B$1:$B$6230,0))))</f>
        <v>BO-O</v>
      </c>
      <c r="U85" s="239"/>
      <c r="V85" s="269">
        <f ca="1">IF(C85="",NA(),MATCH($B85&amp;$C85,'Smelter Look-up'!$J:$J,0))</f>
        <v>438</v>
      </c>
      <c r="W85" s="270"/>
      <c r="X85" s="270">
        <f t="shared" ca="1" si="4"/>
        <v>0</v>
      </c>
      <c r="Y85" s="270"/>
      <c r="Z85" s="270"/>
      <c r="AB85" s="272" t="str">
        <f t="shared" ca="1" si="5"/>
        <v>TinOperaciones Metalurgicas S.A.</v>
      </c>
    </row>
    <row r="86" spans="1:28" s="271" customFormat="1" ht="63.75">
      <c r="A86" s="215" t="s">
        <v>878</v>
      </c>
      <c r="B86" s="216" t="str">
        <f ca="1">IF(LEN(A86)=0,"",INDEX('Smelter Look-up'!$A:$A,MATCH($A86,'Smelter Look-up'!$E:$E,0)))</f>
        <v>Tin</v>
      </c>
      <c r="C86" s="220" t="str">
        <f ca="1">IF(LEN(A86)=0,"",INDEX('Smelter Look-up'!$C:$C,MATCH($A86,'Smelter Look-up'!$E:$E,0)))</f>
        <v>PT Artha Cipta Langgeng</v>
      </c>
      <c r="D86" s="216"/>
      <c r="E86" s="216" t="str">
        <f ca="1">IF(ISERROR($V86),"",OFFSET('Smelter Look-up'!$D$4,$V86-4,0)&amp;"")</f>
        <v>INDONESIA</v>
      </c>
      <c r="F86" s="216" t="str">
        <f ca="1">IF(ISERROR($V86),"",OFFSET('Smelter Look-up'!$E$4,$V86-4,0))</f>
        <v>CID001399</v>
      </c>
      <c r="G86" s="216" t="str">
        <f ca="1">IF(C86=$X$4,"Enter smelter details", IF(ISERROR($V86),"",OFFSET('Smelter Look-up'!$F$4,$V86-4,0)))</f>
        <v>RMI</v>
      </c>
      <c r="H86" s="217">
        <f ca="1">IF(ISERROR($V86),"",OFFSET('Smelter Look-up'!$G$4,$V86-4,0))</f>
        <v>0</v>
      </c>
      <c r="I86" s="218" t="str">
        <f ca="1">IF(ISERROR($V86),"",OFFSET('Smelter Look-up'!$H$4,$V86-4,0))</f>
        <v>Sungailiat</v>
      </c>
      <c r="J86" s="218" t="str">
        <f ca="1">IF(ISERROR($V86),"",OFFSET('Smelter Look-up'!$I$4,$V86-4,0))</f>
        <v>Kepulauan Bangka Belitung</v>
      </c>
      <c r="K86" s="267"/>
      <c r="L86" s="267"/>
      <c r="M86" s="267"/>
      <c r="N86" s="267"/>
      <c r="O86" s="267"/>
      <c r="P86" s="219"/>
      <c r="Q86" s="268"/>
      <c r="R86" s="216" t="str">
        <f ca="1">IF(ISERROR($V86),"",OFFSET('Smelter Look-up'!$C$4,$V86-4,0)&amp;"")</f>
        <v>PT Artha Cipta Langgeng</v>
      </c>
      <c r="S86" s="224" t="str">
        <f t="shared" ca="1" si="3"/>
        <v>ID</v>
      </c>
      <c r="T86" s="224" t="str">
        <f ca="1">IF(B86="","",IF(ISERROR(MATCH($J86,SorP!$B$1:$B$6230,0)),"",INDIRECT("'SorP'!$A$"&amp;MATCH($J86,SorP!$B$1:$B$6230,0))))</f>
        <v>ID-BB</v>
      </c>
      <c r="U86" s="239"/>
      <c r="V86" s="269">
        <f ca="1">IF(C86="",NA(),MATCH($B86&amp;$C86,'Smelter Look-up'!$J:$J,0))</f>
        <v>443</v>
      </c>
      <c r="W86" s="270"/>
      <c r="X86" s="270">
        <f t="shared" ca="1" si="4"/>
        <v>0</v>
      </c>
      <c r="Y86" s="270"/>
      <c r="Z86" s="270"/>
      <c r="AB86" s="272" t="str">
        <f t="shared" ca="1" si="5"/>
        <v>TinPT Artha Cipta Langgeng</v>
      </c>
    </row>
    <row r="87" spans="1:28" s="271" customFormat="1" ht="51">
      <c r="A87" s="215" t="s">
        <v>879</v>
      </c>
      <c r="B87" s="216" t="str">
        <f ca="1">IF(LEN(A87)=0,"",INDEX('Smelter Look-up'!$A:$A,MATCH($A87,'Smelter Look-up'!$E:$E,0)))</f>
        <v>Tin</v>
      </c>
      <c r="C87" s="220" t="str">
        <f ca="1">IF(LEN(A87)=0,"",INDEX('Smelter Look-up'!$C:$C,MATCH($A87,'Smelter Look-up'!$E:$E,0)))</f>
        <v>PT Babel Inti Perkasa</v>
      </c>
      <c r="D87" s="216"/>
      <c r="E87" s="216" t="str">
        <f ca="1">IF(ISERROR($V87),"",OFFSET('Smelter Look-up'!$D$4,$V87-4,0)&amp;"")</f>
        <v>INDONESIA</v>
      </c>
      <c r="F87" s="216" t="str">
        <f ca="1">IF(ISERROR($V87),"",OFFSET('Smelter Look-up'!$E$4,$V87-4,0))</f>
        <v>CID001402</v>
      </c>
      <c r="G87" s="216" t="str">
        <f ca="1">IF(C87=$X$4,"Enter smelter details", IF(ISERROR($V87),"",OFFSET('Smelter Look-up'!$F$4,$V87-4,0)))</f>
        <v>RMI</v>
      </c>
      <c r="H87" s="217">
        <f ca="1">IF(ISERROR($V87),"",OFFSET('Smelter Look-up'!$G$4,$V87-4,0))</f>
        <v>0</v>
      </c>
      <c r="I87" s="218" t="str">
        <f ca="1">IF(ISERROR($V87),"",OFFSET('Smelter Look-up'!$H$4,$V87-4,0))</f>
        <v>Lintang</v>
      </c>
      <c r="J87" s="218" t="str">
        <f ca="1">IF(ISERROR($V87),"",OFFSET('Smelter Look-up'!$I$4,$V87-4,0))</f>
        <v>Kepulauan Bangka Belitung</v>
      </c>
      <c r="K87" s="267"/>
      <c r="L87" s="267"/>
      <c r="M87" s="267"/>
      <c r="N87" s="267"/>
      <c r="O87" s="267"/>
      <c r="P87" s="219"/>
      <c r="Q87" s="268"/>
      <c r="R87" s="216" t="str">
        <f ca="1">IF(ISERROR($V87),"",OFFSET('Smelter Look-up'!$C$4,$V87-4,0)&amp;"")</f>
        <v>PT Babel Inti Perkasa</v>
      </c>
      <c r="S87" s="224" t="str">
        <f t="shared" ca="1" si="3"/>
        <v>ID</v>
      </c>
      <c r="T87" s="224" t="str">
        <f ca="1">IF(B87="","",IF(ISERROR(MATCH($J87,SorP!$B$1:$B$6230,0)),"",INDIRECT("'SorP'!$A$"&amp;MATCH($J87,SorP!$B$1:$B$6230,0))))</f>
        <v>ID-BB</v>
      </c>
      <c r="U87" s="239"/>
      <c r="V87" s="269">
        <f ca="1">IF(C87="",NA(),MATCH($B87&amp;$C87,'Smelter Look-up'!$J:$J,0))</f>
        <v>445</v>
      </c>
      <c r="W87" s="270"/>
      <c r="X87" s="270">
        <f t="shared" ca="1" si="4"/>
        <v>0</v>
      </c>
      <c r="Y87" s="270"/>
      <c r="Z87" s="270"/>
      <c r="AB87" s="272" t="str">
        <f t="shared" ca="1" si="5"/>
        <v>TinPT Babel Inti Perkasa</v>
      </c>
    </row>
    <row r="88" spans="1:28" s="271" customFormat="1" ht="51">
      <c r="A88" s="215" t="s">
        <v>880</v>
      </c>
      <c r="B88" s="216" t="str">
        <f ca="1">IF(LEN(A88)=0,"",INDEX('Smelter Look-up'!$A:$A,MATCH($A88,'Smelter Look-up'!$E:$E,0)))</f>
        <v>Tin</v>
      </c>
      <c r="C88" s="220" t="str">
        <f ca="1">IF(LEN(A88)=0,"",INDEX('Smelter Look-up'!$C:$C,MATCH($A88,'Smelter Look-up'!$E:$E,0)))</f>
        <v>PT Bangka Tin Industry</v>
      </c>
      <c r="D88" s="216"/>
      <c r="E88" s="216" t="str">
        <f ca="1">IF(ISERROR($V88),"",OFFSET('Smelter Look-up'!$D$4,$V88-4,0)&amp;"")</f>
        <v>INDONESIA</v>
      </c>
      <c r="F88" s="216" t="str">
        <f ca="1">IF(ISERROR($V88),"",OFFSET('Smelter Look-up'!$E$4,$V88-4,0))</f>
        <v>CID001419</v>
      </c>
      <c r="G88" s="216" t="str">
        <f ca="1">IF(C88=$X$4,"Enter smelter details", IF(ISERROR($V88),"",OFFSET('Smelter Look-up'!$F$4,$V88-4,0)))</f>
        <v>RMI</v>
      </c>
      <c r="H88" s="217">
        <f ca="1">IF(ISERROR($V88),"",OFFSET('Smelter Look-up'!$G$4,$V88-4,0))</f>
        <v>0</v>
      </c>
      <c r="I88" s="218" t="str">
        <f ca="1">IF(ISERROR($V88),"",OFFSET('Smelter Look-up'!$H$4,$V88-4,0))</f>
        <v>Sungailiat</v>
      </c>
      <c r="J88" s="218" t="str">
        <f ca="1">IF(ISERROR($V88),"",OFFSET('Smelter Look-up'!$I$4,$V88-4,0))</f>
        <v>Kepulauan Bangka Belitung</v>
      </c>
      <c r="K88" s="267"/>
      <c r="L88" s="267"/>
      <c r="M88" s="267"/>
      <c r="N88" s="267"/>
      <c r="O88" s="267"/>
      <c r="P88" s="219"/>
      <c r="Q88" s="268"/>
      <c r="R88" s="216" t="str">
        <f ca="1">IF(ISERROR($V88),"",OFFSET('Smelter Look-up'!$C$4,$V88-4,0)&amp;"")</f>
        <v>PT Bangka Tin Industry</v>
      </c>
      <c r="S88" s="224" t="str">
        <f t="shared" ca="1" si="3"/>
        <v>ID</v>
      </c>
      <c r="T88" s="224" t="str">
        <f ca="1">IF(B88="","",IF(ISERROR(MATCH($J88,SorP!$B$1:$B$6230,0)),"",INDIRECT("'SorP'!$A$"&amp;MATCH($J88,SorP!$B$1:$B$6230,0))))</f>
        <v>ID-BB</v>
      </c>
      <c r="U88" s="239"/>
      <c r="V88" s="269">
        <f ca="1">IF(C88="",NA(),MATCH($B88&amp;$C88,'Smelter Look-up'!$J:$J,0))</f>
        <v>450</v>
      </c>
      <c r="W88" s="270"/>
      <c r="X88" s="270">
        <f t="shared" ca="1" si="4"/>
        <v>0</v>
      </c>
      <c r="Y88" s="270"/>
      <c r="Z88" s="270"/>
      <c r="AB88" s="272" t="str">
        <f t="shared" ca="1" si="5"/>
        <v>TinPT Bangka Tin Industry</v>
      </c>
    </row>
    <row r="89" spans="1:28" s="271" customFormat="1" ht="63.75">
      <c r="A89" s="215" t="s">
        <v>881</v>
      </c>
      <c r="B89" s="216" t="str">
        <f ca="1">IF(LEN(A89)=0,"",INDEX('Smelter Look-up'!$A:$A,MATCH($A89,'Smelter Look-up'!$E:$E,0)))</f>
        <v>Tin</v>
      </c>
      <c r="C89" s="220" t="str">
        <f ca="1">IF(LEN(A89)=0,"",INDEX('Smelter Look-up'!$C:$C,MATCH($A89,'Smelter Look-up'!$E:$E,0)))</f>
        <v>PT Belitung Industri Sejahtera</v>
      </c>
      <c r="D89" s="216"/>
      <c r="E89" s="216" t="str">
        <f ca="1">IF(ISERROR($V89),"",OFFSET('Smelter Look-up'!$D$4,$V89-4,0)&amp;"")</f>
        <v>INDONESIA</v>
      </c>
      <c r="F89" s="216" t="str">
        <f ca="1">IF(ISERROR($V89),"",OFFSET('Smelter Look-up'!$E$4,$V89-4,0))</f>
        <v>CID001421</v>
      </c>
      <c r="G89" s="216" t="str">
        <f ca="1">IF(C89=$X$4,"Enter smelter details", IF(ISERROR($V89),"",OFFSET('Smelter Look-up'!$F$4,$V89-4,0)))</f>
        <v>RMI</v>
      </c>
      <c r="H89" s="217">
        <f ca="1">IF(ISERROR($V89),"",OFFSET('Smelter Look-up'!$G$4,$V89-4,0))</f>
        <v>0</v>
      </c>
      <c r="I89" s="218" t="str">
        <f ca="1">IF(ISERROR($V89),"",OFFSET('Smelter Look-up'!$H$4,$V89-4,0))</f>
        <v>Pegantungan</v>
      </c>
      <c r="J89" s="218" t="str">
        <f ca="1">IF(ISERROR($V89),"",OFFSET('Smelter Look-up'!$I$4,$V89-4,0))</f>
        <v>Kepulauan Bangka Belitung</v>
      </c>
      <c r="K89" s="267"/>
      <c r="L89" s="267"/>
      <c r="M89" s="267"/>
      <c r="N89" s="267"/>
      <c r="O89" s="267"/>
      <c r="P89" s="219"/>
      <c r="Q89" s="268"/>
      <c r="R89" s="216" t="str">
        <f ca="1">IF(ISERROR($V89),"",OFFSET('Smelter Look-up'!$C$4,$V89-4,0)&amp;"")</f>
        <v>PT Belitung Industri Sejahtera</v>
      </c>
      <c r="S89" s="224" t="str">
        <f t="shared" ca="1" si="3"/>
        <v>ID</v>
      </c>
      <c r="T89" s="224" t="str">
        <f ca="1">IF(B89="","",IF(ISERROR(MATCH($J89,SorP!$B$1:$B$6230,0)),"",INDIRECT("'SorP'!$A$"&amp;MATCH($J89,SorP!$B$1:$B$6230,0))))</f>
        <v>ID-BB</v>
      </c>
      <c r="U89" s="239"/>
      <c r="V89" s="269">
        <f ca="1">IF(C89="",NA(),MATCH($B89&amp;$C89,'Smelter Look-up'!$J:$J,0))</f>
        <v>451</v>
      </c>
      <c r="W89" s="270"/>
      <c r="X89" s="270">
        <f t="shared" ca="1" si="4"/>
        <v>0</v>
      </c>
      <c r="Y89" s="270"/>
      <c r="Z89" s="270"/>
      <c r="AB89" s="272" t="str">
        <f t="shared" ca="1" si="5"/>
        <v>TinPT Belitung Industri Sejahtera</v>
      </c>
    </row>
    <row r="90" spans="1:28" s="271" customFormat="1" ht="38.25">
      <c r="A90" s="215" t="s">
        <v>882</v>
      </c>
      <c r="B90" s="216" t="str">
        <f ca="1">IF(LEN(A90)=0,"",INDEX('Smelter Look-up'!$A:$A,MATCH($A90,'Smelter Look-up'!$E:$E,0)))</f>
        <v>Tin</v>
      </c>
      <c r="C90" s="220" t="str">
        <f ca="1">IF(LEN(A90)=0,"",INDEX('Smelter Look-up'!$C:$C,MATCH($A90,'Smelter Look-up'!$E:$E,0)))</f>
        <v>PT Bukit Timah</v>
      </c>
      <c r="D90" s="216"/>
      <c r="E90" s="216" t="str">
        <f ca="1">IF(ISERROR($V90),"",OFFSET('Smelter Look-up'!$D$4,$V90-4,0)&amp;"")</f>
        <v>INDONESIA</v>
      </c>
      <c r="F90" s="216" t="str">
        <f ca="1">IF(ISERROR($V90),"",OFFSET('Smelter Look-up'!$E$4,$V90-4,0))</f>
        <v>CID001428</v>
      </c>
      <c r="G90" s="216" t="str">
        <f ca="1">IF(C90=$X$4,"Enter smelter details", IF(ISERROR($V90),"",OFFSET('Smelter Look-up'!$F$4,$V90-4,0)))</f>
        <v>RMI</v>
      </c>
      <c r="H90" s="217">
        <f ca="1">IF(ISERROR($V90),"",OFFSET('Smelter Look-up'!$G$4,$V90-4,0))</f>
        <v>0</v>
      </c>
      <c r="I90" s="218" t="str">
        <f ca="1">IF(ISERROR($V90),"",OFFSET('Smelter Look-up'!$H$4,$V90-4,0))</f>
        <v>Pangkal Pinang</v>
      </c>
      <c r="J90" s="218" t="str">
        <f ca="1">IF(ISERROR($V90),"",OFFSET('Smelter Look-up'!$I$4,$V90-4,0))</f>
        <v>Kepulauan Bangka Belitung</v>
      </c>
      <c r="K90" s="267"/>
      <c r="L90" s="267"/>
      <c r="M90" s="267"/>
      <c r="N90" s="267"/>
      <c r="O90" s="267"/>
      <c r="P90" s="219"/>
      <c r="Q90" s="268"/>
      <c r="R90" s="216" t="str">
        <f ca="1">IF(ISERROR($V90),"",OFFSET('Smelter Look-up'!$C$4,$V90-4,0)&amp;"")</f>
        <v>PT Bukit Timah</v>
      </c>
      <c r="S90" s="224" t="str">
        <f t="shared" ca="1" si="3"/>
        <v>ID</v>
      </c>
      <c r="T90" s="224" t="str">
        <f ca="1">IF(B90="","",IF(ISERROR(MATCH($J90,SorP!$B$1:$B$6230,0)),"",INDIRECT("'SorP'!$A$"&amp;MATCH($J90,SorP!$B$1:$B$6230,0))))</f>
        <v>ID-BB</v>
      </c>
      <c r="U90" s="239"/>
      <c r="V90" s="269">
        <f ca="1">IF(C90="",NA(),MATCH($B90&amp;$C90,'Smelter Look-up'!$J:$J,0))</f>
        <v>452</v>
      </c>
      <c r="W90" s="270"/>
      <c r="X90" s="270">
        <f t="shared" ca="1" si="4"/>
        <v>0</v>
      </c>
      <c r="Y90" s="270"/>
      <c r="Z90" s="270"/>
      <c r="AB90" s="272" t="str">
        <f t="shared" ca="1" si="5"/>
        <v>TinPT Bukit Timah</v>
      </c>
    </row>
    <row r="91" spans="1:28" s="271" customFormat="1" ht="38.25">
      <c r="A91" s="215" t="s">
        <v>883</v>
      </c>
      <c r="B91" s="216" t="str">
        <f ca="1">IF(LEN(A91)=0,"",INDEX('Smelter Look-up'!$A:$A,MATCH($A91,'Smelter Look-up'!$E:$E,0)))</f>
        <v>Tin</v>
      </c>
      <c r="C91" s="220" t="str">
        <f ca="1">IF(LEN(A91)=0,"",INDEX('Smelter Look-up'!$C:$C,MATCH($A91,'Smelter Look-up'!$E:$E,0)))</f>
        <v>PT DS Jaya Abadi</v>
      </c>
      <c r="D91" s="216"/>
      <c r="E91" s="216" t="str">
        <f ca="1">IF(ISERROR($V91),"",OFFSET('Smelter Look-up'!$D$4,$V91-4,0)&amp;"")</f>
        <v>INDONESIA</v>
      </c>
      <c r="F91" s="216" t="str">
        <f ca="1">IF(ISERROR($V91),"",OFFSET('Smelter Look-up'!$E$4,$V91-4,0))</f>
        <v>CID001434</v>
      </c>
      <c r="G91" s="216" t="str">
        <f ca="1">IF(C91=$X$4,"Enter smelter details", IF(ISERROR($V91),"",OFFSET('Smelter Look-up'!$F$4,$V91-4,0)))</f>
        <v>RMI</v>
      </c>
      <c r="H91" s="217">
        <f ca="1">IF(ISERROR($V91),"",OFFSET('Smelter Look-up'!$G$4,$V91-4,0))</f>
        <v>0</v>
      </c>
      <c r="I91" s="218" t="str">
        <f ca="1">IF(ISERROR($V91),"",OFFSET('Smelter Look-up'!$H$4,$V91-4,0))</f>
        <v>Pangkal Pinang</v>
      </c>
      <c r="J91" s="218" t="str">
        <f ca="1">IF(ISERROR($V91),"",OFFSET('Smelter Look-up'!$I$4,$V91-4,0))</f>
        <v>Kepulauan Bangka Belitung</v>
      </c>
      <c r="K91" s="267"/>
      <c r="L91" s="267"/>
      <c r="M91" s="267"/>
      <c r="N91" s="267"/>
      <c r="O91" s="267"/>
      <c r="P91" s="219"/>
      <c r="Q91" s="268"/>
      <c r="R91" s="216" t="str">
        <f ca="1">IF(ISERROR($V91),"",OFFSET('Smelter Look-up'!$C$4,$V91-4,0)&amp;"")</f>
        <v>PT DS Jaya Abadi</v>
      </c>
      <c r="S91" s="224" t="str">
        <f t="shared" ca="1" si="3"/>
        <v>ID</v>
      </c>
      <c r="T91" s="224" t="str">
        <f ca="1">IF(B91="","",IF(ISERROR(MATCH($J91,SorP!$B$1:$B$6230,0)),"",INDIRECT("'SorP'!$A$"&amp;MATCH($J91,SorP!$B$1:$B$6230,0))))</f>
        <v>ID-BB</v>
      </c>
      <c r="U91" s="239"/>
      <c r="V91" s="269">
        <f ca="1">IF(C91="",NA(),MATCH($B91&amp;$C91,'Smelter Look-up'!$J:$J,0))</f>
        <v>453</v>
      </c>
      <c r="W91" s="270"/>
      <c r="X91" s="270">
        <f t="shared" ca="1" si="4"/>
        <v>0</v>
      </c>
      <c r="Y91" s="270"/>
      <c r="Z91" s="270"/>
      <c r="AB91" s="272" t="str">
        <f t="shared" ca="1" si="5"/>
        <v>TinPT DS Jaya Abadi</v>
      </c>
    </row>
    <row r="92" spans="1:28" s="271" customFormat="1" ht="51">
      <c r="A92" s="215" t="s">
        <v>885</v>
      </c>
      <c r="B92" s="216" t="str">
        <f ca="1">IF(LEN(A92)=0,"",INDEX('Smelter Look-up'!$A:$A,MATCH($A92,'Smelter Look-up'!$E:$E,0)))</f>
        <v>Tin</v>
      </c>
      <c r="C92" s="220" t="str">
        <f ca="1">IF(LEN(A92)=0,"",INDEX('Smelter Look-up'!$C:$C,MATCH($A92,'Smelter Look-up'!$E:$E,0)))</f>
        <v>PT Mitra Stania Prima</v>
      </c>
      <c r="D92" s="216"/>
      <c r="E92" s="216" t="str">
        <f ca="1">IF(ISERROR($V92),"",OFFSET('Smelter Look-up'!$D$4,$V92-4,0)&amp;"")</f>
        <v>INDONESIA</v>
      </c>
      <c r="F92" s="216" t="str">
        <f ca="1">IF(ISERROR($V92),"",OFFSET('Smelter Look-up'!$E$4,$V92-4,0))</f>
        <v>CID001453</v>
      </c>
      <c r="G92" s="216" t="str">
        <f ca="1">IF(C92=$X$4,"Enter smelter details", IF(ISERROR($V92),"",OFFSET('Smelter Look-up'!$F$4,$V92-4,0)))</f>
        <v>RMI</v>
      </c>
      <c r="H92" s="217">
        <f ca="1">IF(ISERROR($V92),"",OFFSET('Smelter Look-up'!$G$4,$V92-4,0))</f>
        <v>0</v>
      </c>
      <c r="I92" s="218" t="str">
        <f ca="1">IF(ISERROR($V92),"",OFFSET('Smelter Look-up'!$H$4,$V92-4,0))</f>
        <v>Sungailiat</v>
      </c>
      <c r="J92" s="218" t="str">
        <f ca="1">IF(ISERROR($V92),"",OFFSET('Smelter Look-up'!$I$4,$V92-4,0))</f>
        <v>Kepulauan Bangka Belitung</v>
      </c>
      <c r="K92" s="267"/>
      <c r="L92" s="267"/>
      <c r="M92" s="267"/>
      <c r="N92" s="267"/>
      <c r="O92" s="267"/>
      <c r="P92" s="219"/>
      <c r="Q92" s="268"/>
      <c r="R92" s="216" t="str">
        <f ca="1">IF(ISERROR($V92),"",OFFSET('Smelter Look-up'!$C$4,$V92-4,0)&amp;"")</f>
        <v>PT Mitra Stania Prima</v>
      </c>
      <c r="S92" s="224" t="str">
        <f t="shared" ca="1" si="3"/>
        <v>ID</v>
      </c>
      <c r="T92" s="224" t="str">
        <f ca="1">IF(B92="","",IF(ISERROR(MATCH($J92,SorP!$B$1:$B$6230,0)),"",INDIRECT("'SorP'!$A$"&amp;MATCH($J92,SorP!$B$1:$B$6230,0))))</f>
        <v>ID-BB</v>
      </c>
      <c r="U92" s="239"/>
      <c r="V92" s="269">
        <f ca="1">IF(C92="",NA(),MATCH($B92&amp;$C92,'Smelter Look-up'!$J:$J,0))</f>
        <v>460</v>
      </c>
      <c r="W92" s="270"/>
      <c r="X92" s="270">
        <f t="shared" ca="1" si="4"/>
        <v>0</v>
      </c>
      <c r="Y92" s="270"/>
      <c r="Z92" s="270"/>
      <c r="AB92" s="272" t="str">
        <f t="shared" ca="1" si="5"/>
        <v>TinPT Mitra Stania Prima</v>
      </c>
    </row>
    <row r="93" spans="1:28" s="271" customFormat="1" ht="51">
      <c r="A93" s="215" t="s">
        <v>1520</v>
      </c>
      <c r="B93" s="216" t="str">
        <f ca="1">IF(LEN(A93)=0,"",INDEX('Smelter Look-up'!$A:$A,MATCH($A93,'Smelter Look-up'!$E:$E,0)))</f>
        <v>Tin</v>
      </c>
      <c r="C93" s="220" t="str">
        <f ca="1">IF(LEN(A93)=0,"",INDEX('Smelter Look-up'!$C:$C,MATCH($A93,'Smelter Look-up'!$E:$E,0)))</f>
        <v>PT Panca Mega Persada</v>
      </c>
      <c r="D93" s="216"/>
      <c r="E93" s="216" t="str">
        <f ca="1">IF(ISERROR($V93),"",OFFSET('Smelter Look-up'!$D$4,$V93-4,0)&amp;"")</f>
        <v>INDONESIA</v>
      </c>
      <c r="F93" s="216" t="str">
        <f ca="1">IF(ISERROR($V93),"",OFFSET('Smelter Look-up'!$E$4,$V93-4,0))</f>
        <v>CID001457</v>
      </c>
      <c r="G93" s="216" t="str">
        <f ca="1">IF(C93=$X$4,"Enter smelter details", IF(ISERROR($V93),"",OFFSET('Smelter Look-up'!$F$4,$V93-4,0)))</f>
        <v>RMI</v>
      </c>
      <c r="H93" s="217">
        <f ca="1">IF(ISERROR($V93),"",OFFSET('Smelter Look-up'!$G$4,$V93-4,0))</f>
        <v>0</v>
      </c>
      <c r="I93" s="218" t="str">
        <f ca="1">IF(ISERROR($V93),"",OFFSET('Smelter Look-up'!$H$4,$V93-4,0))</f>
        <v>Sungailiat</v>
      </c>
      <c r="J93" s="218" t="str">
        <f ca="1">IF(ISERROR($V93),"",OFFSET('Smelter Look-up'!$I$4,$V93-4,0))</f>
        <v>Kepulauan Bangka Belitung</v>
      </c>
      <c r="K93" s="267"/>
      <c r="L93" s="267"/>
      <c r="M93" s="267"/>
      <c r="N93" s="267"/>
      <c r="O93" s="267"/>
      <c r="P93" s="219"/>
      <c r="Q93" s="268"/>
      <c r="R93" s="216" t="str">
        <f ca="1">IF(ISERROR($V93),"",OFFSET('Smelter Look-up'!$C$4,$V93-4,0)&amp;"")</f>
        <v>PT Panca Mega Persada</v>
      </c>
      <c r="S93" s="224" t="str">
        <f t="shared" ca="1" si="3"/>
        <v>ID</v>
      </c>
      <c r="T93" s="224" t="str">
        <f ca="1">IF(B93="","",IF(ISERROR(MATCH($J93,SorP!$B$1:$B$6230,0)),"",INDIRECT("'SorP'!$A$"&amp;MATCH($J93,SorP!$B$1:$B$6230,0))))</f>
        <v>ID-BB</v>
      </c>
      <c r="U93" s="239"/>
      <c r="V93" s="269">
        <f ca="1">IF(C93="",NA(),MATCH($B93&amp;$C93,'Smelter Look-up'!$J:$J,0))</f>
        <v>461</v>
      </c>
      <c r="W93" s="270"/>
      <c r="X93" s="270">
        <f t="shared" ca="1" si="4"/>
        <v>0</v>
      </c>
      <c r="Y93" s="270"/>
      <c r="Z93" s="270"/>
      <c r="AB93" s="272" t="str">
        <f t="shared" ca="1" si="5"/>
        <v>TinPT Panca Mega Persada</v>
      </c>
    </row>
    <row r="94" spans="1:28" s="271" customFormat="1" ht="51">
      <c r="A94" s="215" t="s">
        <v>887</v>
      </c>
      <c r="B94" s="216" t="str">
        <f ca="1">IF(LEN(A94)=0,"",INDEX('Smelter Look-up'!$A:$A,MATCH($A94,'Smelter Look-up'!$E:$E,0)))</f>
        <v>Tin</v>
      </c>
      <c r="C94" s="220" t="str">
        <f ca="1">IF(LEN(A94)=0,"",INDEX('Smelter Look-up'!$C:$C,MATCH($A94,'Smelter Look-up'!$E:$E,0)))</f>
        <v>PT Prima Timah Utama</v>
      </c>
      <c r="D94" s="216"/>
      <c r="E94" s="216" t="str">
        <f ca="1">IF(ISERROR($V94),"",OFFSET('Smelter Look-up'!$D$4,$V94-4,0)&amp;"")</f>
        <v>INDONESIA</v>
      </c>
      <c r="F94" s="216" t="str">
        <f ca="1">IF(ISERROR($V94),"",OFFSET('Smelter Look-up'!$E$4,$V94-4,0))</f>
        <v>CID001458</v>
      </c>
      <c r="G94" s="216" t="str">
        <f ca="1">IF(C94=$X$4,"Enter smelter details", IF(ISERROR($V94),"",OFFSET('Smelter Look-up'!$F$4,$V94-4,0)))</f>
        <v>RMI</v>
      </c>
      <c r="H94" s="217">
        <f ca="1">IF(ISERROR($V94),"",OFFSET('Smelter Look-up'!$G$4,$V94-4,0))</f>
        <v>0</v>
      </c>
      <c r="I94" s="218" t="str">
        <f ca="1">IF(ISERROR($V94),"",OFFSET('Smelter Look-up'!$H$4,$V94-4,0))</f>
        <v>Pangkal Pinang</v>
      </c>
      <c r="J94" s="218" t="str">
        <f ca="1">IF(ISERROR($V94),"",OFFSET('Smelter Look-up'!$I$4,$V94-4,0))</f>
        <v>Kepulauan Bangka Belitung</v>
      </c>
      <c r="K94" s="267"/>
      <c r="L94" s="267"/>
      <c r="M94" s="267"/>
      <c r="N94" s="267"/>
      <c r="O94" s="267"/>
      <c r="P94" s="219"/>
      <c r="Q94" s="268"/>
      <c r="R94" s="216" t="str">
        <f ca="1">IF(ISERROR($V94),"",OFFSET('Smelter Look-up'!$C$4,$V94-4,0)&amp;"")</f>
        <v>PT Prima Timah Utama</v>
      </c>
      <c r="S94" s="224" t="str">
        <f t="shared" ca="1" si="3"/>
        <v>ID</v>
      </c>
      <c r="T94" s="224" t="str">
        <f ca="1">IF(B94="","",IF(ISERROR(MATCH($J94,SorP!$B$1:$B$6230,0)),"",INDIRECT("'SorP'!$A$"&amp;MATCH($J94,SorP!$B$1:$B$6230,0))))</f>
        <v>ID-BB</v>
      </c>
      <c r="U94" s="239"/>
      <c r="V94" s="269">
        <f ca="1">IF(C94="",NA(),MATCH($B94&amp;$C94,'Smelter Look-up'!$J:$J,0))</f>
        <v>463</v>
      </c>
      <c r="W94" s="270"/>
      <c r="X94" s="270">
        <f t="shared" ca="1" si="4"/>
        <v>0</v>
      </c>
      <c r="Y94" s="270"/>
      <c r="Z94" s="270"/>
      <c r="AB94" s="272" t="str">
        <f t="shared" ca="1" si="5"/>
        <v>TinPT Prima Timah Utama</v>
      </c>
    </row>
    <row r="95" spans="1:28" s="271" customFormat="1" ht="51">
      <c r="A95" s="215" t="s">
        <v>888</v>
      </c>
      <c r="B95" s="216" t="str">
        <f ca="1">IF(LEN(A95)=0,"",INDEX('Smelter Look-up'!$A:$A,MATCH($A95,'Smelter Look-up'!$E:$E,0)))</f>
        <v>Tin</v>
      </c>
      <c r="C95" s="220" t="str">
        <f ca="1">IF(LEN(A95)=0,"",INDEX('Smelter Look-up'!$C:$C,MATCH($A95,'Smelter Look-up'!$E:$E,0)))</f>
        <v>PT Refined Bangka Tin</v>
      </c>
      <c r="D95" s="216"/>
      <c r="E95" s="216" t="str">
        <f ca="1">IF(ISERROR($V95),"",OFFSET('Smelter Look-up'!$D$4,$V95-4,0)&amp;"")</f>
        <v>INDONESIA</v>
      </c>
      <c r="F95" s="216" t="str">
        <f ca="1">IF(ISERROR($V95),"",OFFSET('Smelter Look-up'!$E$4,$V95-4,0))</f>
        <v>CID001460</v>
      </c>
      <c r="G95" s="216" t="str">
        <f ca="1">IF(C95=$X$4,"Enter smelter details", IF(ISERROR($V95),"",OFFSET('Smelter Look-up'!$F$4,$V95-4,0)))</f>
        <v>RMI</v>
      </c>
      <c r="H95" s="217">
        <f ca="1">IF(ISERROR($V95),"",OFFSET('Smelter Look-up'!$G$4,$V95-4,0))</f>
        <v>0</v>
      </c>
      <c r="I95" s="218" t="str">
        <f ca="1">IF(ISERROR($V95),"",OFFSET('Smelter Look-up'!$H$4,$V95-4,0))</f>
        <v>Sungailiat</v>
      </c>
      <c r="J95" s="218" t="str">
        <f ca="1">IF(ISERROR($V95),"",OFFSET('Smelter Look-up'!$I$4,$V95-4,0))</f>
        <v>Kepulauan Bangka Belitung</v>
      </c>
      <c r="K95" s="267"/>
      <c r="L95" s="267"/>
      <c r="M95" s="267"/>
      <c r="N95" s="267"/>
      <c r="O95" s="267"/>
      <c r="P95" s="219"/>
      <c r="Q95" s="268"/>
      <c r="R95" s="216" t="str">
        <f ca="1">IF(ISERROR($V95),"",OFFSET('Smelter Look-up'!$C$4,$V95-4,0)&amp;"")</f>
        <v>PT Refined Bangka Tin</v>
      </c>
      <c r="S95" s="224" t="str">
        <f t="shared" ca="1" si="3"/>
        <v>ID</v>
      </c>
      <c r="T95" s="224" t="str">
        <f ca="1">IF(B95="","",IF(ISERROR(MATCH($J95,SorP!$B$1:$B$6230,0)),"",INDIRECT("'SorP'!$A$"&amp;MATCH($J95,SorP!$B$1:$B$6230,0))))</f>
        <v>ID-BB</v>
      </c>
      <c r="U95" s="239"/>
      <c r="V95" s="269">
        <f ca="1">IF(C95="",NA(),MATCH($B95&amp;$C95,'Smelter Look-up'!$J:$J,0))</f>
        <v>466</v>
      </c>
      <c r="W95" s="270"/>
      <c r="X95" s="270">
        <f t="shared" ca="1" si="4"/>
        <v>0</v>
      </c>
      <c r="Y95" s="270"/>
      <c r="Z95" s="270"/>
      <c r="AB95" s="272" t="str">
        <f t="shared" ca="1" si="5"/>
        <v>TinPT Refined Bangka Tin</v>
      </c>
    </row>
    <row r="96" spans="1:28" s="271" customFormat="1" ht="63.75">
      <c r="A96" s="215" t="s">
        <v>889</v>
      </c>
      <c r="B96" s="216" t="str">
        <f ca="1">IF(LEN(A96)=0,"",INDEX('Smelter Look-up'!$A:$A,MATCH($A96,'Smelter Look-up'!$E:$E,0)))</f>
        <v>Tin</v>
      </c>
      <c r="C96" s="220" t="str">
        <f ca="1">IF(LEN(A96)=0,"",INDEX('Smelter Look-up'!$C:$C,MATCH($A96,'Smelter Look-up'!$E:$E,0)))</f>
        <v>PT Sariwiguna Binasentosa</v>
      </c>
      <c r="D96" s="216"/>
      <c r="E96" s="216" t="str">
        <f ca="1">IF(ISERROR($V96),"",OFFSET('Smelter Look-up'!$D$4,$V96-4,0)&amp;"")</f>
        <v>INDONESIA</v>
      </c>
      <c r="F96" s="216" t="str">
        <f ca="1">IF(ISERROR($V96),"",OFFSET('Smelter Look-up'!$E$4,$V96-4,0))</f>
        <v>CID001463</v>
      </c>
      <c r="G96" s="216" t="str">
        <f ca="1">IF(C96=$X$4,"Enter smelter details", IF(ISERROR($V96),"",OFFSET('Smelter Look-up'!$F$4,$V96-4,0)))</f>
        <v>RMI</v>
      </c>
      <c r="H96" s="217">
        <f ca="1">IF(ISERROR($V96),"",OFFSET('Smelter Look-up'!$G$4,$V96-4,0))</f>
        <v>0</v>
      </c>
      <c r="I96" s="218" t="str">
        <f ca="1">IF(ISERROR($V96),"",OFFSET('Smelter Look-up'!$H$4,$V96-4,0))</f>
        <v>Pangkal Pinang</v>
      </c>
      <c r="J96" s="218" t="str">
        <f ca="1">IF(ISERROR($V96),"",OFFSET('Smelter Look-up'!$I$4,$V96-4,0))</f>
        <v>Kepulauan Bangka Belitung</v>
      </c>
      <c r="K96" s="267"/>
      <c r="L96" s="267"/>
      <c r="M96" s="267"/>
      <c r="N96" s="267"/>
      <c r="O96" s="267"/>
      <c r="P96" s="219"/>
      <c r="Q96" s="268"/>
      <c r="R96" s="216" t="str">
        <f ca="1">IF(ISERROR($V96),"",OFFSET('Smelter Look-up'!$C$4,$V96-4,0)&amp;"")</f>
        <v>PT Sariwiguna Binasentosa</v>
      </c>
      <c r="S96" s="224" t="str">
        <f t="shared" ca="1" si="3"/>
        <v>ID</v>
      </c>
      <c r="T96" s="224" t="str">
        <f ca="1">IF(B96="","",IF(ISERROR(MATCH($J96,SorP!$B$1:$B$6230,0)),"",INDIRECT("'SorP'!$A$"&amp;MATCH($J96,SorP!$B$1:$B$6230,0))))</f>
        <v>ID-BB</v>
      </c>
      <c r="U96" s="239"/>
      <c r="V96" s="269">
        <f ca="1">IF(C96="",NA(),MATCH($B96&amp;$C96,'Smelter Look-up'!$J:$J,0))</f>
        <v>467</v>
      </c>
      <c r="W96" s="270"/>
      <c r="X96" s="270">
        <f t="shared" ca="1" si="4"/>
        <v>0</v>
      </c>
      <c r="Y96" s="270"/>
      <c r="Z96" s="270"/>
      <c r="AB96" s="272" t="str">
        <f t="shared" ca="1" si="5"/>
        <v>TinPT Sariwiguna Binasentosa</v>
      </c>
    </row>
    <row r="97" spans="1:28" s="271" customFormat="1" ht="51">
      <c r="A97" s="215" t="s">
        <v>890</v>
      </c>
      <c r="B97" s="216" t="str">
        <f ca="1">IF(LEN(A97)=0,"",INDEX('Smelter Look-up'!$A:$A,MATCH($A97,'Smelter Look-up'!$E:$E,0)))</f>
        <v>Tin</v>
      </c>
      <c r="C97" s="220" t="str">
        <f ca="1">IF(LEN(A97)=0,"",INDEX('Smelter Look-up'!$C:$C,MATCH($A97,'Smelter Look-up'!$E:$E,0)))</f>
        <v>PT Stanindo Inti Perkasa</v>
      </c>
      <c r="D97" s="216"/>
      <c r="E97" s="216" t="str">
        <f ca="1">IF(ISERROR($V97),"",OFFSET('Smelter Look-up'!$D$4,$V97-4,0)&amp;"")</f>
        <v>INDONESIA</v>
      </c>
      <c r="F97" s="216" t="str">
        <f ca="1">IF(ISERROR($V97),"",OFFSET('Smelter Look-up'!$E$4,$V97-4,0))</f>
        <v>CID001468</v>
      </c>
      <c r="G97" s="216" t="str">
        <f ca="1">IF(C97=$X$4,"Enter smelter details", IF(ISERROR($V97),"",OFFSET('Smelter Look-up'!$F$4,$V97-4,0)))</f>
        <v>RMI</v>
      </c>
      <c r="H97" s="217">
        <f ca="1">IF(ISERROR($V97),"",OFFSET('Smelter Look-up'!$G$4,$V97-4,0))</f>
        <v>0</v>
      </c>
      <c r="I97" s="218" t="str">
        <f ca="1">IF(ISERROR($V97),"",OFFSET('Smelter Look-up'!$H$4,$V97-4,0))</f>
        <v>Pangkal Pinang</v>
      </c>
      <c r="J97" s="218" t="str">
        <f ca="1">IF(ISERROR($V97),"",OFFSET('Smelter Look-up'!$I$4,$V97-4,0))</f>
        <v>Kepulauan Bangka Belitung</v>
      </c>
      <c r="K97" s="267"/>
      <c r="L97" s="267"/>
      <c r="M97" s="267"/>
      <c r="N97" s="267"/>
      <c r="O97" s="267"/>
      <c r="P97" s="219"/>
      <c r="Q97" s="268"/>
      <c r="R97" s="216" t="str">
        <f ca="1">IF(ISERROR($V97),"",OFFSET('Smelter Look-up'!$C$4,$V97-4,0)&amp;"")</f>
        <v>PT Stanindo Inti Perkasa</v>
      </c>
      <c r="S97" s="224" t="str">
        <f t="shared" ca="1" si="3"/>
        <v>ID</v>
      </c>
      <c r="T97" s="224" t="str">
        <f ca="1">IF(B97="","",IF(ISERROR(MATCH($J97,SorP!$B$1:$B$6230,0)),"",INDIRECT("'SorP'!$A$"&amp;MATCH($J97,SorP!$B$1:$B$6230,0))))</f>
        <v>ID-BB</v>
      </c>
      <c r="U97" s="239"/>
      <c r="V97" s="269">
        <f ca="1">IF(C97="",NA(),MATCH($B97&amp;$C97,'Smelter Look-up'!$J:$J,0))</f>
        <v>468</v>
      </c>
      <c r="W97" s="270"/>
      <c r="X97" s="270">
        <f t="shared" ca="1" si="4"/>
        <v>0</v>
      </c>
      <c r="Y97" s="270"/>
      <c r="Z97" s="270"/>
      <c r="AB97" s="272" t="str">
        <f t="shared" ca="1" si="5"/>
        <v>TinPT Stanindo Inti Perkasa</v>
      </c>
    </row>
    <row r="98" spans="1:28" s="271" customFormat="1" ht="51">
      <c r="A98" s="215" t="s">
        <v>914</v>
      </c>
      <c r="B98" s="216" t="str">
        <f ca="1">IF(LEN(A98)=0,"",INDEX('Smelter Look-up'!$A:$A,MATCH($A98,'Smelter Look-up'!$E:$E,0)))</f>
        <v>Tin</v>
      </c>
      <c r="C98" s="220" t="str">
        <f ca="1">IF(LEN(A98)=0,"",INDEX('Smelter Look-up'!$C:$C,MATCH($A98,'Smelter Look-up'!$E:$E,0)))</f>
        <v>PT Timah Tbk Kundur</v>
      </c>
      <c r="D98" s="216"/>
      <c r="E98" s="216" t="str">
        <f ca="1">IF(ISERROR($V98),"",OFFSET('Smelter Look-up'!$D$4,$V98-4,0)&amp;"")</f>
        <v>INDONESIA</v>
      </c>
      <c r="F98" s="216" t="str">
        <f ca="1">IF(ISERROR($V98),"",OFFSET('Smelter Look-up'!$E$4,$V98-4,0))</f>
        <v>CID001477</v>
      </c>
      <c r="G98" s="216" t="str">
        <f ca="1">IF(C98=$X$4,"Enter smelter details", IF(ISERROR($V98),"",OFFSET('Smelter Look-up'!$F$4,$V98-4,0)))</f>
        <v>RMI</v>
      </c>
      <c r="H98" s="217">
        <f ca="1">IF(ISERROR($V98),"",OFFSET('Smelter Look-up'!$G$4,$V98-4,0))</f>
        <v>0</v>
      </c>
      <c r="I98" s="218" t="str">
        <f ca="1">IF(ISERROR($V98),"",OFFSET('Smelter Look-up'!$H$4,$V98-4,0))</f>
        <v>Kundur</v>
      </c>
      <c r="J98" s="218" t="str">
        <f ca="1">IF(ISERROR($V98),"",OFFSET('Smelter Look-up'!$I$4,$V98-4,0))</f>
        <v>Riau</v>
      </c>
      <c r="K98" s="267"/>
      <c r="L98" s="267"/>
      <c r="M98" s="267"/>
      <c r="N98" s="267"/>
      <c r="O98" s="267"/>
      <c r="P98" s="219"/>
      <c r="Q98" s="268"/>
      <c r="R98" s="216" t="str">
        <f ca="1">IF(ISERROR($V98),"",OFFSET('Smelter Look-up'!$C$4,$V98-4,0)&amp;"")</f>
        <v>PT Timah Tbk Kundur</v>
      </c>
      <c r="S98" s="224" t="str">
        <f t="shared" ca="1" si="3"/>
        <v>ID</v>
      </c>
      <c r="T98" s="224" t="str">
        <f ca="1">IF(B98="","",IF(ISERROR(MATCH($J98,SorP!$B$1:$B$6230,0)),"",INDIRECT("'SorP'!$A$"&amp;MATCH($J98,SorP!$B$1:$B$6230,0))))</f>
        <v>ID-RI</v>
      </c>
      <c r="U98" s="239"/>
      <c r="V98" s="269">
        <f ca="1">IF(C98="",NA(),MATCH($B98&amp;$C98,'Smelter Look-up'!$J:$J,0))</f>
        <v>472</v>
      </c>
      <c r="W98" s="270"/>
      <c r="X98" s="270">
        <f t="shared" ca="1" si="4"/>
        <v>0</v>
      </c>
      <c r="Y98" s="270"/>
      <c r="Z98" s="270"/>
      <c r="AB98" s="272" t="str">
        <f t="shared" ca="1" si="5"/>
        <v>TinPT Timah Tbk Kundur</v>
      </c>
    </row>
    <row r="99" spans="1:28" s="271" customFormat="1" ht="51">
      <c r="A99" s="215" t="s">
        <v>891</v>
      </c>
      <c r="B99" s="216" t="str">
        <f ca="1">IF(LEN(A99)=0,"",INDEX('Smelter Look-up'!$A:$A,MATCH($A99,'Smelter Look-up'!$E:$E,0)))</f>
        <v>Tin</v>
      </c>
      <c r="C99" s="220" t="str">
        <f ca="1">IF(LEN(A99)=0,"",INDEX('Smelter Look-up'!$C:$C,MATCH($A99,'Smelter Look-up'!$E:$E,0)))</f>
        <v>PT Timah Tbk Mentok</v>
      </c>
      <c r="D99" s="216"/>
      <c r="E99" s="216" t="str">
        <f ca="1">IF(ISERROR($V99),"",OFFSET('Smelter Look-up'!$D$4,$V99-4,0)&amp;"")</f>
        <v>INDONESIA</v>
      </c>
      <c r="F99" s="216" t="str">
        <f ca="1">IF(ISERROR($V99),"",OFFSET('Smelter Look-up'!$E$4,$V99-4,0))</f>
        <v>CID001482</v>
      </c>
      <c r="G99" s="216" t="str">
        <f ca="1">IF(C99=$X$4,"Enter smelter details", IF(ISERROR($V99),"",OFFSET('Smelter Look-up'!$F$4,$V99-4,0)))</f>
        <v>RMI</v>
      </c>
      <c r="H99" s="217">
        <f ca="1">IF(ISERROR($V99),"",OFFSET('Smelter Look-up'!$G$4,$V99-4,0))</f>
        <v>0</v>
      </c>
      <c r="I99" s="218" t="str">
        <f ca="1">IF(ISERROR($V99),"",OFFSET('Smelter Look-up'!$H$4,$V99-4,0))</f>
        <v>Mentok</v>
      </c>
      <c r="J99" s="218" t="str">
        <f ca="1">IF(ISERROR($V99),"",OFFSET('Smelter Look-up'!$I$4,$V99-4,0))</f>
        <v>Kepulauan Bangka Belitung</v>
      </c>
      <c r="K99" s="267"/>
      <c r="L99" s="267"/>
      <c r="M99" s="267"/>
      <c r="N99" s="267"/>
      <c r="O99" s="267"/>
      <c r="P99" s="219"/>
      <c r="Q99" s="268"/>
      <c r="R99" s="216" t="str">
        <f ca="1">IF(ISERROR($V99),"",OFFSET('Smelter Look-up'!$C$4,$V99-4,0)&amp;"")</f>
        <v>PT Timah Tbk Mentok</v>
      </c>
      <c r="S99" s="224" t="str">
        <f t="shared" ca="1" si="3"/>
        <v>ID</v>
      </c>
      <c r="T99" s="224" t="str">
        <f ca="1">IF(B99="","",IF(ISERROR(MATCH($J99,SorP!$B$1:$B$6230,0)),"",INDIRECT("'SorP'!$A$"&amp;MATCH($J99,SorP!$B$1:$B$6230,0))))</f>
        <v>ID-BB</v>
      </c>
      <c r="U99" s="239"/>
      <c r="V99" s="269">
        <f ca="1">IF(C99="",NA(),MATCH($B99&amp;$C99,'Smelter Look-up'!$J:$J,0))</f>
        <v>473</v>
      </c>
      <c r="W99" s="270"/>
      <c r="X99" s="270">
        <f t="shared" ca="1" si="4"/>
        <v>0</v>
      </c>
      <c r="Y99" s="270"/>
      <c r="Z99" s="270"/>
      <c r="AB99" s="272" t="str">
        <f t="shared" ca="1" si="5"/>
        <v>TinPT Timah Tbk Mentok</v>
      </c>
    </row>
    <row r="100" spans="1:28" s="271" customFormat="1" ht="51">
      <c r="A100" s="215" t="s">
        <v>892</v>
      </c>
      <c r="B100" s="216" t="str">
        <f ca="1">IF(LEN(A100)=0,"",INDEX('Smelter Look-up'!$A:$A,MATCH($A100,'Smelter Look-up'!$E:$E,0)))</f>
        <v>Tin</v>
      </c>
      <c r="C100" s="220" t="str">
        <f ca="1">IF(LEN(A100)=0,"",INDEX('Smelter Look-up'!$C:$C,MATCH($A100,'Smelter Look-up'!$E:$E,0)))</f>
        <v>PT Tinindo Inter Nusa</v>
      </c>
      <c r="D100" s="216"/>
      <c r="E100" s="216" t="str">
        <f ca="1">IF(ISERROR($V100),"",OFFSET('Smelter Look-up'!$D$4,$V100-4,0)&amp;"")</f>
        <v>INDONESIA</v>
      </c>
      <c r="F100" s="216" t="str">
        <f ca="1">IF(ISERROR($V100),"",OFFSET('Smelter Look-up'!$E$4,$V100-4,0))</f>
        <v>CID001490</v>
      </c>
      <c r="G100" s="216" t="str">
        <f ca="1">IF(C100=$X$4,"Enter smelter details", IF(ISERROR($V100),"",OFFSET('Smelter Look-up'!$F$4,$V100-4,0)))</f>
        <v>RMI</v>
      </c>
      <c r="H100" s="217">
        <f ca="1">IF(ISERROR($V100),"",OFFSET('Smelter Look-up'!$G$4,$V100-4,0))</f>
        <v>0</v>
      </c>
      <c r="I100" s="218" t="str">
        <f ca="1">IF(ISERROR($V100),"",OFFSET('Smelter Look-up'!$H$4,$V100-4,0))</f>
        <v>Pangkal Pinang</v>
      </c>
      <c r="J100" s="218" t="str">
        <f ca="1">IF(ISERROR($V100),"",OFFSET('Smelter Look-up'!$I$4,$V100-4,0))</f>
        <v>Kepulauan Bangka Belitung</v>
      </c>
      <c r="K100" s="267"/>
      <c r="L100" s="267"/>
      <c r="M100" s="267"/>
      <c r="N100" s="267"/>
      <c r="O100" s="267"/>
      <c r="P100" s="219"/>
      <c r="Q100" s="268"/>
      <c r="R100" s="216" t="str">
        <f ca="1">IF(ISERROR($V100),"",OFFSET('Smelter Look-up'!$C$4,$V100-4,0)&amp;"")</f>
        <v>PT Tinindo Inter Nusa</v>
      </c>
      <c r="S100" s="224" t="str">
        <f t="shared" ca="1" si="3"/>
        <v>ID</v>
      </c>
      <c r="T100" s="224" t="str">
        <f ca="1">IF(B100="","",IF(ISERROR(MATCH($J100,SorP!$B$1:$B$6230,0)),"",INDIRECT("'SorP'!$A$"&amp;MATCH($J100,SorP!$B$1:$B$6230,0))))</f>
        <v>ID-BB</v>
      </c>
      <c r="U100" s="239"/>
      <c r="V100" s="269">
        <f ca="1">IF(C100="",NA(),MATCH($B100&amp;$C100,'Smelter Look-up'!$J:$J,0))</f>
        <v>474</v>
      </c>
      <c r="W100" s="270"/>
      <c r="X100" s="270">
        <f t="shared" ca="1" si="4"/>
        <v>0</v>
      </c>
      <c r="Y100" s="270"/>
      <c r="Z100" s="270"/>
      <c r="AB100" s="272" t="str">
        <f t="shared" ca="1" si="5"/>
        <v>TinPT Tinindo Inter Nusa</v>
      </c>
    </row>
    <row r="101" spans="1:28" s="271" customFormat="1" ht="38.25">
      <c r="A101" s="215" t="s">
        <v>2685</v>
      </c>
      <c r="B101" s="216" t="str">
        <f ca="1">IF(LEN(A101)=0,"",INDEX('Smelter Look-up'!$A:$A,MATCH($A101,'Smelter Look-up'!$E:$E,0)))</f>
        <v>Tin</v>
      </c>
      <c r="C101" s="220" t="str">
        <f ca="1">IF(LEN(A101)=0,"",INDEX('Smelter Look-up'!$C:$C,MATCH($A101,'Smelter Look-up'!$E:$E,0)))</f>
        <v>PT Tommy Utama</v>
      </c>
      <c r="D101" s="216"/>
      <c r="E101" s="216" t="str">
        <f ca="1">IF(ISERROR($V101),"",OFFSET('Smelter Look-up'!$D$4,$V101-4,0)&amp;"")</f>
        <v>INDONESIA</v>
      </c>
      <c r="F101" s="216" t="str">
        <f ca="1">IF(ISERROR($V101),"",OFFSET('Smelter Look-up'!$E$4,$V101-4,0))</f>
        <v>CID001493</v>
      </c>
      <c r="G101" s="216" t="str">
        <f ca="1">IF(C101=$X$4,"Enter smelter details", IF(ISERROR($V101),"",OFFSET('Smelter Look-up'!$F$4,$V101-4,0)))</f>
        <v>RMI</v>
      </c>
      <c r="H101" s="217">
        <f ca="1">IF(ISERROR($V101),"",OFFSET('Smelter Look-up'!$G$4,$V101-4,0))</f>
        <v>0</v>
      </c>
      <c r="I101" s="218" t="str">
        <f ca="1">IF(ISERROR($V101),"",OFFSET('Smelter Look-up'!$H$4,$V101-4,0))</f>
        <v>Sumping Desa Batu Peyu</v>
      </c>
      <c r="J101" s="218" t="str">
        <f ca="1">IF(ISERROR($V101),"",OFFSET('Smelter Look-up'!$I$4,$V101-4,0))</f>
        <v>Kepulauan Bangka Belitung</v>
      </c>
      <c r="K101" s="267"/>
      <c r="L101" s="267"/>
      <c r="M101" s="267"/>
      <c r="N101" s="267"/>
      <c r="O101" s="267"/>
      <c r="P101" s="219"/>
      <c r="Q101" s="268"/>
      <c r="R101" s="216" t="str">
        <f ca="1">IF(ISERROR($V101),"",OFFSET('Smelter Look-up'!$C$4,$V101-4,0)&amp;"")</f>
        <v>PT Tommy Utama</v>
      </c>
      <c r="S101" s="224" t="str">
        <f t="shared" ca="1" si="3"/>
        <v>ID</v>
      </c>
      <c r="T101" s="224" t="str">
        <f ca="1">IF(B101="","",IF(ISERROR(MATCH($J101,SorP!$B$1:$B$6230,0)),"",INDIRECT("'SorP'!$A$"&amp;MATCH($J101,SorP!$B$1:$B$6230,0))))</f>
        <v>ID-BB</v>
      </c>
      <c r="U101" s="239"/>
      <c r="V101" s="269">
        <f ca="1">IF(C101="",NA(),MATCH($B101&amp;$C101,'Smelter Look-up'!$J:$J,0))</f>
        <v>476</v>
      </c>
      <c r="W101" s="270"/>
      <c r="X101" s="270">
        <f t="shared" ca="1" si="4"/>
        <v>0</v>
      </c>
      <c r="Y101" s="270"/>
      <c r="Z101" s="270"/>
      <c r="AB101" s="272" t="str">
        <f t="shared" ca="1" si="5"/>
        <v>TinPT Tommy Utama</v>
      </c>
    </row>
    <row r="102" spans="1:28" s="271" customFormat="1" ht="25.5">
      <c r="A102" s="215" t="s">
        <v>894</v>
      </c>
      <c r="B102" s="216" t="str">
        <f ca="1">IF(LEN(A102)=0,"",INDEX('Smelter Look-up'!$A:$A,MATCH($A102,'Smelter Look-up'!$E:$E,0)))</f>
        <v>Tin</v>
      </c>
      <c r="C102" s="220" t="str">
        <f ca="1">IF(LEN(A102)=0,"",INDEX('Smelter Look-up'!$C:$C,MATCH($A102,'Smelter Look-up'!$E:$E,0)))</f>
        <v>Rui Da Hung</v>
      </c>
      <c r="D102" s="216"/>
      <c r="E102" s="216" t="str">
        <f ca="1">IF(ISERROR($V102),"",OFFSET('Smelter Look-up'!$D$4,$V102-4,0)&amp;"")</f>
        <v>TAIWAN, PROVINCE OF CHINA</v>
      </c>
      <c r="F102" s="216" t="str">
        <f ca="1">IF(ISERROR($V102),"",OFFSET('Smelter Look-up'!$E$4,$V102-4,0))</f>
        <v>CID001539</v>
      </c>
      <c r="G102" s="216" t="str">
        <f ca="1">IF(C102=$X$4,"Enter smelter details", IF(ISERROR($V102),"",OFFSET('Smelter Look-up'!$F$4,$V102-4,0)))</f>
        <v>RMI</v>
      </c>
      <c r="H102" s="217">
        <f ca="1">IF(ISERROR($V102),"",OFFSET('Smelter Look-up'!$G$4,$V102-4,0))</f>
        <v>0</v>
      </c>
      <c r="I102" s="218" t="str">
        <f ca="1">IF(ISERROR($V102),"",OFFSET('Smelter Look-up'!$H$4,$V102-4,0))</f>
        <v>Longtan Shiang Taoyuan</v>
      </c>
      <c r="J102" s="218" t="str">
        <f ca="1">IF(ISERROR($V102),"",OFFSET('Smelter Look-up'!$I$4,$V102-4,0))</f>
        <v>Taoyuan</v>
      </c>
      <c r="K102" s="267"/>
      <c r="L102" s="267"/>
      <c r="M102" s="267"/>
      <c r="N102" s="267"/>
      <c r="O102" s="267"/>
      <c r="P102" s="219"/>
      <c r="Q102" s="268"/>
      <c r="R102" s="216" t="str">
        <f ca="1">IF(ISERROR($V102),"",OFFSET('Smelter Look-up'!$C$4,$V102-4,0)&amp;"")</f>
        <v>Rui Da Hung</v>
      </c>
      <c r="S102" s="224" t="str">
        <f t="shared" ca="1" si="3"/>
        <v>TW</v>
      </c>
      <c r="T102" s="224" t="str">
        <f ca="1">IF(B102="","",IF(ISERROR(MATCH($J102,SorP!$B$1:$B$6230,0)),"",INDIRECT("'SorP'!$A$"&amp;MATCH($J102,SorP!$B$1:$B$6230,0))))</f>
        <v>TW-TAO</v>
      </c>
      <c r="U102" s="239"/>
      <c r="V102" s="269">
        <f ca="1">IF(C102="",NA(),MATCH($B102&amp;$C102,'Smelter Look-up'!$J:$J,0))</f>
        <v>480</v>
      </c>
      <c r="W102" s="270"/>
      <c r="X102" s="270">
        <f t="shared" ca="1" si="4"/>
        <v>0</v>
      </c>
      <c r="Y102" s="270"/>
      <c r="Z102" s="270"/>
      <c r="AB102" s="272" t="str">
        <f t="shared" ca="1" si="5"/>
        <v>TinRui Da Hung</v>
      </c>
    </row>
    <row r="103" spans="1:28" s="271" customFormat="1" ht="25.5">
      <c r="A103" s="215" t="s">
        <v>896</v>
      </c>
      <c r="B103" s="216" t="str">
        <f ca="1">IF(LEN(A103)=0,"",INDEX('Smelter Look-up'!$A:$A,MATCH($A103,'Smelter Look-up'!$E:$E,0)))</f>
        <v>Tin</v>
      </c>
      <c r="C103" s="220" t="str">
        <f ca="1">IF(LEN(A103)=0,"",INDEX('Smelter Look-up'!$C:$C,MATCH($A103,'Smelter Look-up'!$E:$E,0)))</f>
        <v>Thaisarco</v>
      </c>
      <c r="D103" s="216"/>
      <c r="E103" s="216" t="str">
        <f ca="1">IF(ISERROR($V103),"",OFFSET('Smelter Look-up'!$D$4,$V103-4,0)&amp;"")</f>
        <v>THAILAND</v>
      </c>
      <c r="F103" s="216" t="str">
        <f ca="1">IF(ISERROR($V103),"",OFFSET('Smelter Look-up'!$E$4,$V103-4,0))</f>
        <v>CID001898</v>
      </c>
      <c r="G103" s="216" t="str">
        <f ca="1">IF(C103=$X$4,"Enter smelter details", IF(ISERROR($V103),"",OFFSET('Smelter Look-up'!$F$4,$V103-4,0)))</f>
        <v>RMI</v>
      </c>
      <c r="H103" s="217">
        <f ca="1">IF(ISERROR($V103),"",OFFSET('Smelter Look-up'!$G$4,$V103-4,0))</f>
        <v>0</v>
      </c>
      <c r="I103" s="218" t="str">
        <f ca="1">IF(ISERROR($V103),"",OFFSET('Smelter Look-up'!$H$4,$V103-4,0))</f>
        <v>Amphur Muang</v>
      </c>
      <c r="J103" s="218" t="str">
        <f ca="1">IF(ISERROR($V103),"",OFFSET('Smelter Look-up'!$I$4,$V103-4,0))</f>
        <v>Phuket</v>
      </c>
      <c r="K103" s="267"/>
      <c r="L103" s="267"/>
      <c r="M103" s="267"/>
      <c r="N103" s="267"/>
      <c r="O103" s="267"/>
      <c r="P103" s="219"/>
      <c r="Q103" s="268"/>
      <c r="R103" s="216" t="str">
        <f ca="1">IF(ISERROR($V103),"",OFFSET('Smelter Look-up'!$C$4,$V103-4,0)&amp;"")</f>
        <v>Thaisarco</v>
      </c>
      <c r="S103" s="224" t="str">
        <f t="shared" ca="1" si="3"/>
        <v>TH</v>
      </c>
      <c r="T103" s="224" t="str">
        <f ca="1">IF(B103="","",IF(ISERROR(MATCH($J103,SorP!$B$1:$B$6230,0)),"",INDIRECT("'SorP'!$A$"&amp;MATCH($J103,SorP!$B$1:$B$6230,0))))</f>
        <v>TH-83</v>
      </c>
      <c r="U103" s="239"/>
      <c r="V103" s="269">
        <f ca="1">IF(C103="",NA(),MATCH($B103&amp;$C103,'Smelter Look-up'!$J:$J,0))</f>
        <v>488</v>
      </c>
      <c r="W103" s="270"/>
      <c r="X103" s="270">
        <f t="shared" ca="1" si="4"/>
        <v>0</v>
      </c>
      <c r="Y103" s="270"/>
      <c r="Z103" s="270"/>
      <c r="AB103" s="272" t="str">
        <f t="shared" ca="1" si="5"/>
        <v>TinThaisarco</v>
      </c>
    </row>
    <row r="104" spans="1:28" s="271" customFormat="1" ht="102">
      <c r="A104" s="215" t="s">
        <v>2055</v>
      </c>
      <c r="B104" s="216" t="str">
        <f ca="1">IF(LEN(A104)=0,"",INDEX('Smelter Look-up'!$A:$A,MATCH($A104,'Smelter Look-up'!$E:$E,0)))</f>
        <v>Tin</v>
      </c>
      <c r="C104" s="220" t="str">
        <f ca="1">IF(LEN(A104)=0,"",INDEX('Smelter Look-up'!$C:$C,MATCH($A104,'Smelter Look-up'!$E:$E,0)))</f>
        <v>Gejiu Yunxin Nonferrous Electrolysis Co., Ltd.</v>
      </c>
      <c r="D104" s="216"/>
      <c r="E104" s="216" t="str">
        <f ca="1">IF(ISERROR($V104),"",OFFSET('Smelter Look-up'!$D$4,$V104-4,0)&amp;"")</f>
        <v>CHINA</v>
      </c>
      <c r="F104" s="216" t="str">
        <f ca="1">IF(ISERROR($V104),"",OFFSET('Smelter Look-up'!$E$4,$V104-4,0))</f>
        <v>CID001908</v>
      </c>
      <c r="G104" s="216" t="str">
        <f ca="1">IF(C104=$X$4,"Enter smelter details", IF(ISERROR($V104),"",OFFSET('Smelter Look-up'!$F$4,$V104-4,0)))</f>
        <v>RMI</v>
      </c>
      <c r="H104" s="217">
        <f ca="1">IF(ISERROR($V104),"",OFFSET('Smelter Look-up'!$G$4,$V104-4,0))</f>
        <v>0</v>
      </c>
      <c r="I104" s="218" t="str">
        <f ca="1">IF(ISERROR($V104),"",OFFSET('Smelter Look-up'!$H$4,$V104-4,0))</f>
        <v>Gejiu</v>
      </c>
      <c r="J104" s="218" t="str">
        <f ca="1">IF(ISERROR($V104),"",OFFSET('Smelter Look-up'!$I$4,$V104-4,0))</f>
        <v>Yunnan Sheng</v>
      </c>
      <c r="K104" s="267"/>
      <c r="L104" s="267"/>
      <c r="M104" s="267"/>
      <c r="N104" s="267"/>
      <c r="O104" s="267"/>
      <c r="P104" s="219"/>
      <c r="Q104" s="268"/>
      <c r="R104" s="216" t="str">
        <f ca="1">IF(ISERROR($V104),"",OFFSET('Smelter Look-up'!$C$4,$V104-4,0)&amp;"")</f>
        <v>Gejiu Yunxin Nonferrous Electrolysis Co., Ltd.</v>
      </c>
      <c r="S104" s="224" t="str">
        <f t="shared" ca="1" si="3"/>
        <v>CN</v>
      </c>
      <c r="T104" s="224" t="str">
        <f ca="1">IF(B104="","",IF(ISERROR(MATCH($J104,SorP!$B$1:$B$6230,0)),"",INDIRECT("'SorP'!$A$"&amp;MATCH($J104,SorP!$B$1:$B$6230,0))))</f>
        <v>CN-YN</v>
      </c>
      <c r="U104" s="239"/>
      <c r="V104" s="269">
        <f ca="1">IF(C104="",NA(),MATCH($B104&amp;$C104,'Smelter Look-up'!$J:$J,0))</f>
        <v>394</v>
      </c>
      <c r="W104" s="270"/>
      <c r="X104" s="270">
        <f t="shared" ca="1" si="4"/>
        <v>0</v>
      </c>
      <c r="Y104" s="270"/>
      <c r="Z104" s="270"/>
      <c r="AB104" s="272" t="str">
        <f t="shared" ca="1" si="5"/>
        <v>TinGejiu Yunxin Nonferrous Electrolysis Co., Ltd.</v>
      </c>
    </row>
    <row r="105" spans="1:28" s="271" customFormat="1" ht="76.5">
      <c r="A105" s="215" t="s">
        <v>897</v>
      </c>
      <c r="B105" s="216" t="str">
        <f ca="1">IF(LEN(A105)=0,"",INDEX('Smelter Look-up'!$A:$A,MATCH($A105,'Smelter Look-up'!$E:$E,0)))</f>
        <v>Tin</v>
      </c>
      <c r="C105" s="220" t="str">
        <f ca="1">IF(LEN(A105)=0,"",INDEX('Smelter Look-up'!$C:$C,MATCH($A105,'Smelter Look-up'!$E:$E,0)))</f>
        <v>White Solder Metalurgia e Mineracao Ltda.</v>
      </c>
      <c r="D105" s="216"/>
      <c r="E105" s="216" t="str">
        <f ca="1">IF(ISERROR($V105),"",OFFSET('Smelter Look-up'!$D$4,$V105-4,0)&amp;"")</f>
        <v>BRAZIL</v>
      </c>
      <c r="F105" s="216" t="str">
        <f ca="1">IF(ISERROR($V105),"",OFFSET('Smelter Look-up'!$E$4,$V105-4,0))</f>
        <v>CID002036</v>
      </c>
      <c r="G105" s="216" t="str">
        <f ca="1">IF(C105=$X$4,"Enter smelter details", IF(ISERROR($V105),"",OFFSET('Smelter Look-up'!$F$4,$V105-4,0)))</f>
        <v>RMI</v>
      </c>
      <c r="H105" s="217">
        <f ca="1">IF(ISERROR($V105),"",OFFSET('Smelter Look-up'!$G$4,$V105-4,0))</f>
        <v>0</v>
      </c>
      <c r="I105" s="218" t="str">
        <f ca="1">IF(ISERROR($V105),"",OFFSET('Smelter Look-up'!$H$4,$V105-4,0))</f>
        <v>Ariquemes</v>
      </c>
      <c r="J105" s="218" t="str">
        <f ca="1">IF(ISERROR($V105),"",OFFSET('Smelter Look-up'!$I$4,$V105-4,0))</f>
        <v>Rondônia</v>
      </c>
      <c r="K105" s="267"/>
      <c r="L105" s="267"/>
      <c r="M105" s="267"/>
      <c r="N105" s="267"/>
      <c r="O105" s="267"/>
      <c r="P105" s="219"/>
      <c r="Q105" s="268"/>
      <c r="R105" s="216" t="str">
        <f ca="1">IF(ISERROR($V105),"",OFFSET('Smelter Look-up'!$C$4,$V105-4,0)&amp;"")</f>
        <v>White Solder Metalurgia e Mineracao Ltda.</v>
      </c>
      <c r="S105" s="224" t="str">
        <f t="shared" ca="1" si="3"/>
        <v>BR</v>
      </c>
      <c r="T105" s="224" t="str">
        <f ca="1">IF(B105="","",IF(ISERROR(MATCH($J105,SorP!$B$1:$B$6230,0)),"",INDIRECT("'SorP'!$A$"&amp;MATCH($J105,SorP!$B$1:$B$6230,0))))</f>
        <v>BR-RO</v>
      </c>
      <c r="U105" s="239"/>
      <c r="V105" s="269">
        <f ca="1">IF(C105="",NA(),MATCH($B105&amp;$C105,'Smelter Look-up'!$J:$J,0))</f>
        <v>495</v>
      </c>
      <c r="W105" s="270"/>
      <c r="X105" s="270">
        <f t="shared" ca="1" si="4"/>
        <v>0</v>
      </c>
      <c r="Y105" s="270"/>
      <c r="Z105" s="270"/>
      <c r="AB105" s="272" t="str">
        <f t="shared" ca="1" si="5"/>
        <v>TinWhite Solder Metalurgia e Mineracao Ltda.</v>
      </c>
    </row>
    <row r="106" spans="1:28" s="271" customFormat="1" ht="102">
      <c r="A106" s="215" t="s">
        <v>898</v>
      </c>
      <c r="B106" s="216" t="str">
        <f ca="1">IF(LEN(A106)=0,"",INDEX('Smelter Look-up'!$A:$A,MATCH($A106,'Smelter Look-up'!$E:$E,0)))</f>
        <v>Tin</v>
      </c>
      <c r="C106" s="220" t="str">
        <f ca="1">IF(LEN(A106)=0,"",INDEX('Smelter Look-up'!$C:$C,MATCH($A106,'Smelter Look-up'!$E:$E,0)))</f>
        <v>Yunnan Chengfeng Non-ferrous Metals Co., Ltd.</v>
      </c>
      <c r="D106" s="216"/>
      <c r="E106" s="216" t="str">
        <f ca="1">IF(ISERROR($V106),"",OFFSET('Smelter Look-up'!$D$4,$V106-4,0)&amp;"")</f>
        <v>CHINA</v>
      </c>
      <c r="F106" s="216" t="str">
        <f ca="1">IF(ISERROR($V106),"",OFFSET('Smelter Look-up'!$E$4,$V106-4,0))</f>
        <v>CID002158</v>
      </c>
      <c r="G106" s="216" t="str">
        <f ca="1">IF(C106=$X$4,"Enter smelter details", IF(ISERROR($V106),"",OFFSET('Smelter Look-up'!$F$4,$V106-4,0)))</f>
        <v>RMI</v>
      </c>
      <c r="H106" s="217">
        <f ca="1">IF(ISERROR($V106),"",OFFSET('Smelter Look-up'!$G$4,$V106-4,0))</f>
        <v>0</v>
      </c>
      <c r="I106" s="218" t="str">
        <f ca="1">IF(ISERROR($V106),"",OFFSET('Smelter Look-up'!$H$4,$V106-4,0))</f>
        <v>Gejiu</v>
      </c>
      <c r="J106" s="218" t="str">
        <f ca="1">IF(ISERROR($V106),"",OFFSET('Smelter Look-up'!$I$4,$V106-4,0))</f>
        <v>Yunnan Sheng</v>
      </c>
      <c r="K106" s="267"/>
      <c r="L106" s="267"/>
      <c r="M106" s="267"/>
      <c r="N106" s="267"/>
      <c r="O106" s="267"/>
      <c r="P106" s="219"/>
      <c r="Q106" s="268"/>
      <c r="R106" s="216" t="str">
        <f ca="1">IF(ISERROR($V106),"",OFFSET('Smelter Look-up'!$C$4,$V106-4,0)&amp;"")</f>
        <v>Yunnan Chengfeng Non-ferrous Metals Co., Ltd.</v>
      </c>
      <c r="S106" s="224" t="str">
        <f t="shared" ca="1" si="3"/>
        <v>CN</v>
      </c>
      <c r="T106" s="224" t="str">
        <f ca="1">IF(B106="","",IF(ISERROR(MATCH($J106,SorP!$B$1:$B$6230,0)),"",INDIRECT("'SorP'!$A$"&amp;MATCH($J106,SorP!$B$1:$B$6230,0))))</f>
        <v>CN-YN</v>
      </c>
      <c r="U106" s="239"/>
      <c r="V106" s="269">
        <f ca="1">IF(C106="",NA(),MATCH($B106&amp;$C106,'Smelter Look-up'!$J:$J,0))</f>
        <v>503</v>
      </c>
      <c r="W106" s="270"/>
      <c r="X106" s="270">
        <f t="shared" ca="1" si="4"/>
        <v>0</v>
      </c>
      <c r="Y106" s="270"/>
      <c r="Z106" s="270"/>
      <c r="AB106" s="272" t="str">
        <f t="shared" ca="1" si="5"/>
        <v>TinYunnan Chengfeng Non-ferrous Metals Co., Ltd.</v>
      </c>
    </row>
    <row r="107" spans="1:28" s="271" customFormat="1" ht="63.75">
      <c r="A107" s="215" t="s">
        <v>899</v>
      </c>
      <c r="B107" s="216" t="str">
        <f ca="1">IF(LEN(A107)=0,"",INDEX('Smelter Look-up'!$A:$A,MATCH($A107,'Smelter Look-up'!$E:$E,0)))</f>
        <v>Tin</v>
      </c>
      <c r="C107" s="220" t="str">
        <f ca="1">IF(LEN(A107)=0,"",INDEX('Smelter Look-up'!$C:$C,MATCH($A107,'Smelter Look-up'!$E:$E,0)))</f>
        <v>Yunnan Tin Company Limited</v>
      </c>
      <c r="D107" s="216"/>
      <c r="E107" s="216" t="str">
        <f ca="1">IF(ISERROR($V107),"",OFFSET('Smelter Look-up'!$D$4,$V107-4,0)&amp;"")</f>
        <v>CHINA</v>
      </c>
      <c r="F107" s="216" t="str">
        <f ca="1">IF(ISERROR($V107),"",OFFSET('Smelter Look-up'!$E$4,$V107-4,0))</f>
        <v>CID002180</v>
      </c>
      <c r="G107" s="216" t="str">
        <f ca="1">IF(C107=$X$4,"Enter smelter details", IF(ISERROR($V107),"",OFFSET('Smelter Look-up'!$F$4,$V107-4,0)))</f>
        <v>RMI</v>
      </c>
      <c r="H107" s="217">
        <f ca="1">IF(ISERROR($V107),"",OFFSET('Smelter Look-up'!$G$4,$V107-4,0))</f>
        <v>0</v>
      </c>
      <c r="I107" s="218" t="str">
        <f ca="1">IF(ISERROR($V107),"",OFFSET('Smelter Look-up'!$H$4,$V107-4,0))</f>
        <v>Gejiu</v>
      </c>
      <c r="J107" s="218" t="str">
        <f ca="1">IF(ISERROR($V107),"",OFFSET('Smelter Look-up'!$I$4,$V107-4,0))</f>
        <v>Yunnan Sheng</v>
      </c>
      <c r="K107" s="267"/>
      <c r="L107" s="267"/>
      <c r="M107" s="267"/>
      <c r="N107" s="267"/>
      <c r="O107" s="267"/>
      <c r="P107" s="219"/>
      <c r="Q107" s="268"/>
      <c r="R107" s="216" t="str">
        <f ca="1">IF(ISERROR($V107),"",OFFSET('Smelter Look-up'!$C$4,$V107-4,0)&amp;"")</f>
        <v>Yunnan Tin Company Limited</v>
      </c>
      <c r="S107" s="224" t="str">
        <f t="shared" ca="1" si="3"/>
        <v>CN</v>
      </c>
      <c r="T107" s="224" t="str">
        <f ca="1">IF(B107="","",IF(ISERROR(MATCH($J107,SorP!$B$1:$B$6230,0)),"",INDIRECT("'SorP'!$A$"&amp;MATCH($J107,SorP!$B$1:$B$6230,0))))</f>
        <v>CN-YN</v>
      </c>
      <c r="U107" s="239"/>
      <c r="V107" s="269">
        <f ca="1">IF(C107="",NA(),MATCH($B107&amp;$C107,'Smelter Look-up'!$J:$J,0))</f>
        <v>507</v>
      </c>
      <c r="W107" s="270"/>
      <c r="X107" s="270">
        <f t="shared" ca="1" si="4"/>
        <v>0</v>
      </c>
      <c r="Y107" s="270"/>
      <c r="Z107" s="270"/>
      <c r="AB107" s="272" t="str">
        <f t="shared" ca="1" si="5"/>
        <v>TinYunnan Tin Company Limited</v>
      </c>
    </row>
    <row r="108" spans="1:28" s="271" customFormat="1" ht="51">
      <c r="A108" s="215" t="s">
        <v>1541</v>
      </c>
      <c r="B108" s="216" t="str">
        <f ca="1">IF(LEN(A108)=0,"",INDEX('Smelter Look-up'!$A:$A,MATCH($A108,'Smelter Look-up'!$E:$E,0)))</f>
        <v>Tin</v>
      </c>
      <c r="C108" s="220" t="str">
        <f ca="1">IF(LEN(A108)=0,"",INDEX('Smelter Look-up'!$C:$C,MATCH($A108,'Smelter Look-up'!$E:$E,0)))</f>
        <v>CV Venus Inti Perkasa</v>
      </c>
      <c r="D108" s="216"/>
      <c r="E108" s="216" t="str">
        <f ca="1">IF(ISERROR($V108),"",OFFSET('Smelter Look-up'!$D$4,$V108-4,0)&amp;"")</f>
        <v>INDONESIA</v>
      </c>
      <c r="F108" s="216" t="str">
        <f ca="1">IF(ISERROR($V108),"",OFFSET('Smelter Look-up'!$E$4,$V108-4,0))</f>
        <v>CID002455</v>
      </c>
      <c r="G108" s="216" t="str">
        <f ca="1">IF(C108=$X$4,"Enter smelter details", IF(ISERROR($V108),"",OFFSET('Smelter Look-up'!$F$4,$V108-4,0)))</f>
        <v>RMI</v>
      </c>
      <c r="H108" s="217">
        <f ca="1">IF(ISERROR($V108),"",OFFSET('Smelter Look-up'!$G$4,$V108-4,0))</f>
        <v>0</v>
      </c>
      <c r="I108" s="218" t="str">
        <f ca="1">IF(ISERROR($V108),"",OFFSET('Smelter Look-up'!$H$4,$V108-4,0))</f>
        <v>Pangkal Pinang</v>
      </c>
      <c r="J108" s="218" t="str">
        <f ca="1">IF(ISERROR($V108),"",OFFSET('Smelter Look-up'!$I$4,$V108-4,0))</f>
        <v>Kepulauan Bangka Belitung</v>
      </c>
      <c r="K108" s="267"/>
      <c r="L108" s="267"/>
      <c r="M108" s="267"/>
      <c r="N108" s="267"/>
      <c r="O108" s="267"/>
      <c r="P108" s="219"/>
      <c r="Q108" s="268"/>
      <c r="R108" s="216" t="str">
        <f ca="1">IF(ISERROR($V108),"",OFFSET('Smelter Look-up'!$C$4,$V108-4,0)&amp;"")</f>
        <v>CV Venus Inti Perkasa</v>
      </c>
      <c r="S108" s="224" t="str">
        <f t="shared" ca="1" si="3"/>
        <v>ID</v>
      </c>
      <c r="T108" s="224" t="str">
        <f ca="1">IF(B108="","",IF(ISERROR(MATCH($J108,SorP!$B$1:$B$6230,0)),"",INDIRECT("'SorP'!$A$"&amp;MATCH($J108,SorP!$B$1:$B$6230,0))))</f>
        <v>ID-BB</v>
      </c>
      <c r="U108" s="239"/>
      <c r="V108" s="269">
        <f ca="1">IF(C108="",NA(),MATCH($B108&amp;$C108,'Smelter Look-up'!$J:$J,0))</f>
        <v>375</v>
      </c>
      <c r="W108" s="270"/>
      <c r="X108" s="270">
        <f t="shared" ca="1" si="4"/>
        <v>0</v>
      </c>
      <c r="Y108" s="270"/>
      <c r="Z108" s="270"/>
      <c r="AB108" s="272" t="str">
        <f t="shared" ca="1" si="5"/>
        <v>TinCV Venus Inti Perkasa</v>
      </c>
    </row>
    <row r="109" spans="1:28" s="271" customFormat="1" ht="63.75">
      <c r="A109" s="215" t="s">
        <v>1545</v>
      </c>
      <c r="B109" s="216" t="str">
        <f ca="1">IF(LEN(A109)=0,"",INDEX('Smelter Look-up'!$A:$A,MATCH($A109,'Smelter Look-up'!$E:$E,0)))</f>
        <v>Tin</v>
      </c>
      <c r="C109" s="220" t="str">
        <f ca="1">IF(LEN(A109)=0,"",INDEX('Smelter Look-up'!$C:$C,MATCH($A109,'Smelter Look-up'!$E:$E,0)))</f>
        <v>PT ATD Makmur Mandiri Jaya</v>
      </c>
      <c r="D109" s="216"/>
      <c r="E109" s="216" t="str">
        <f ca="1">IF(ISERROR($V109),"",OFFSET('Smelter Look-up'!$D$4,$V109-4,0)&amp;"")</f>
        <v>INDONESIA</v>
      </c>
      <c r="F109" s="216" t="str">
        <f ca="1">IF(ISERROR($V109),"",OFFSET('Smelter Look-up'!$E$4,$V109-4,0))</f>
        <v>CID002503</v>
      </c>
      <c r="G109" s="216" t="str">
        <f ca="1">IF(C109=$X$4,"Enter smelter details", IF(ISERROR($V109),"",OFFSET('Smelter Look-up'!$F$4,$V109-4,0)))</f>
        <v>RMI</v>
      </c>
      <c r="H109" s="217">
        <f ca="1">IF(ISERROR($V109),"",OFFSET('Smelter Look-up'!$G$4,$V109-4,0))</f>
        <v>0</v>
      </c>
      <c r="I109" s="218" t="str">
        <f ca="1">IF(ISERROR($V109),"",OFFSET('Smelter Look-up'!$H$4,$V109-4,0))</f>
        <v>Sungailiat</v>
      </c>
      <c r="J109" s="218" t="str">
        <f ca="1">IF(ISERROR($V109),"",OFFSET('Smelter Look-up'!$I$4,$V109-4,0))</f>
        <v>Kepulauan Bangka Belitung</v>
      </c>
      <c r="K109" s="267"/>
      <c r="L109" s="267"/>
      <c r="M109" s="267"/>
      <c r="N109" s="267"/>
      <c r="O109" s="267"/>
      <c r="P109" s="219"/>
      <c r="Q109" s="268"/>
      <c r="R109" s="216" t="str">
        <f ca="1">IF(ISERROR($V109),"",OFFSET('Smelter Look-up'!$C$4,$V109-4,0)&amp;"")</f>
        <v>PT ATD Makmur Mandiri Jaya</v>
      </c>
      <c r="S109" s="224" t="str">
        <f t="shared" ca="1" si="3"/>
        <v>ID</v>
      </c>
      <c r="T109" s="224" t="str">
        <f ca="1">IF(B109="","",IF(ISERROR(MATCH($J109,SorP!$B$1:$B$6230,0)),"",INDIRECT("'SorP'!$A$"&amp;MATCH($J109,SorP!$B$1:$B$6230,0))))</f>
        <v>ID-BB</v>
      </c>
      <c r="U109" s="239"/>
      <c r="V109" s="269">
        <f ca="1">IF(C109="",NA(),MATCH($B109&amp;$C109,'Smelter Look-up'!$J:$J,0))</f>
        <v>444</v>
      </c>
      <c r="W109" s="270"/>
      <c r="X109" s="270">
        <f t="shared" ca="1" si="4"/>
        <v>0</v>
      </c>
      <c r="Y109" s="270"/>
      <c r="Z109" s="270"/>
      <c r="AB109" s="272" t="str">
        <f t="shared" ca="1" si="5"/>
        <v>TinPT ATD Makmur Mandiri Jaya</v>
      </c>
    </row>
    <row r="110" spans="1:28" s="271" customFormat="1" ht="51">
      <c r="A110" s="215" t="s">
        <v>1547</v>
      </c>
      <c r="B110" s="216" t="str">
        <f ca="1">IF(LEN(A110)=0,"",INDEX('Smelter Look-up'!$A:$A,MATCH($A110,'Smelter Look-up'!$E:$E,0)))</f>
        <v>Tin</v>
      </c>
      <c r="C110" s="220" t="str">
        <f ca="1">IF(LEN(A110)=0,"",INDEX('Smelter Look-up'!$C:$C,MATCH($A110,'Smelter Look-up'!$E:$E,0)))</f>
        <v>PT Inti Stania Prima</v>
      </c>
      <c r="D110" s="216"/>
      <c r="E110" s="216" t="str">
        <f ca="1">IF(ISERROR($V110),"",OFFSET('Smelter Look-up'!$D$4,$V110-4,0)&amp;"")</f>
        <v>INDONESIA</v>
      </c>
      <c r="F110" s="216" t="str">
        <f ca="1">IF(ISERROR($V110),"",OFFSET('Smelter Look-up'!$E$4,$V110-4,0))</f>
        <v>CID002530</v>
      </c>
      <c r="G110" s="216" t="str">
        <f ca="1">IF(C110=$X$4,"Enter smelter details", IF(ISERROR($V110),"",OFFSET('Smelter Look-up'!$F$4,$V110-4,0)))</f>
        <v>RMI</v>
      </c>
      <c r="H110" s="217">
        <f ca="1">IF(ISERROR($V110),"",OFFSET('Smelter Look-up'!$G$4,$V110-4,0))</f>
        <v>0</v>
      </c>
      <c r="I110" s="218" t="str">
        <f ca="1">IF(ISERROR($V110),"",OFFSET('Smelter Look-up'!$H$4,$V110-4,0))</f>
        <v>Sungailiat</v>
      </c>
      <c r="J110" s="218" t="str">
        <f ca="1">IF(ISERROR($V110),"",OFFSET('Smelter Look-up'!$I$4,$V110-4,0))</f>
        <v>Kepulauan Bangka Belitung</v>
      </c>
      <c r="K110" s="267"/>
      <c r="L110" s="267"/>
      <c r="M110" s="267"/>
      <c r="N110" s="267"/>
      <c r="O110" s="267"/>
      <c r="P110" s="219"/>
      <c r="Q110" s="268"/>
      <c r="R110" s="216" t="str">
        <f ca="1">IF(ISERROR($V110),"",OFFSET('Smelter Look-up'!$C$4,$V110-4,0)&amp;"")</f>
        <v>PT Inti Stania Prima</v>
      </c>
      <c r="S110" s="224" t="str">
        <f t="shared" ca="1" si="3"/>
        <v>ID</v>
      </c>
      <c r="T110" s="224" t="str">
        <f ca="1">IF(B110="","",IF(ISERROR(MATCH($J110,SorP!$B$1:$B$6230,0)),"",INDIRECT("'SorP'!$A$"&amp;MATCH($J110,SorP!$B$1:$B$6230,0))))</f>
        <v>ID-BB</v>
      </c>
      <c r="U110" s="239"/>
      <c r="V110" s="269">
        <f ca="1">IF(C110="",NA(),MATCH($B110&amp;$C110,'Smelter Look-up'!$J:$J,0))</f>
        <v>456</v>
      </c>
      <c r="W110" s="270"/>
      <c r="X110" s="270">
        <f t="shared" ca="1" si="4"/>
        <v>0</v>
      </c>
      <c r="Y110" s="270"/>
      <c r="Z110" s="270"/>
      <c r="AB110" s="272" t="str">
        <f t="shared" ca="1" si="5"/>
        <v>TinPT Inti Stania Prima</v>
      </c>
    </row>
    <row r="111" spans="1:28" s="271" customFormat="1" ht="25.5">
      <c r="A111" s="215" t="s">
        <v>2062</v>
      </c>
      <c r="B111" s="216" t="str">
        <f ca="1">IF(LEN(A111)=0,"",INDEX('Smelter Look-up'!$A:$A,MATCH($A111,'Smelter Look-up'!$E:$E,0)))</f>
        <v>Tin</v>
      </c>
      <c r="C111" s="220" t="str">
        <f ca="1">IF(LEN(A111)=0,"",INDEX('Smelter Look-up'!$C:$C,MATCH($A111,'Smelter Look-up'!$E:$E,0)))</f>
        <v>CV Ayi Jaya</v>
      </c>
      <c r="D111" s="216"/>
      <c r="E111" s="216" t="str">
        <f ca="1">IF(ISERROR($V111),"",OFFSET('Smelter Look-up'!$D$4,$V111-4,0)&amp;"")</f>
        <v>INDONESIA</v>
      </c>
      <c r="F111" s="216" t="str">
        <f ca="1">IF(ISERROR($V111),"",OFFSET('Smelter Look-up'!$E$4,$V111-4,0))</f>
        <v>CID002570</v>
      </c>
      <c r="G111" s="216" t="str">
        <f ca="1">IF(C111=$X$4,"Enter smelter details", IF(ISERROR($V111),"",OFFSET('Smelter Look-up'!$F$4,$V111-4,0)))</f>
        <v>RMI</v>
      </c>
      <c r="H111" s="217">
        <f ca="1">IF(ISERROR($V111),"",OFFSET('Smelter Look-up'!$G$4,$V111-4,0))</f>
        <v>0</v>
      </c>
      <c r="I111" s="218" t="str">
        <f ca="1">IF(ISERROR($V111),"",OFFSET('Smelter Look-up'!$H$4,$V111-4,0))</f>
        <v>Sungailiat</v>
      </c>
      <c r="J111" s="218" t="str">
        <f ca="1">IF(ISERROR($V111),"",OFFSET('Smelter Look-up'!$I$4,$V111-4,0))</f>
        <v>Kepulauan Bangka Belitung</v>
      </c>
      <c r="K111" s="267"/>
      <c r="L111" s="267"/>
      <c r="M111" s="267"/>
      <c r="N111" s="267"/>
      <c r="O111" s="267"/>
      <c r="P111" s="219"/>
      <c r="Q111" s="268"/>
      <c r="R111" s="216" t="str">
        <f ca="1">IF(ISERROR($V111),"",OFFSET('Smelter Look-up'!$C$4,$V111-4,0)&amp;"")</f>
        <v>CV Ayi Jaya</v>
      </c>
      <c r="S111" s="224" t="str">
        <f t="shared" ca="1" si="3"/>
        <v>ID</v>
      </c>
      <c r="T111" s="224" t="str">
        <f ca="1">IF(B111="","",IF(ISERROR(MATCH($J111,SorP!$B$1:$B$6230,0)),"",INDIRECT("'SorP'!$A$"&amp;MATCH($J111,SorP!$B$1:$B$6230,0))))</f>
        <v>ID-BB</v>
      </c>
      <c r="U111" s="239"/>
      <c r="V111" s="269">
        <f ca="1">IF(C111="",NA(),MATCH($B111&amp;$C111,'Smelter Look-up'!$J:$J,0))</f>
        <v>368</v>
      </c>
      <c r="W111" s="270"/>
      <c r="X111" s="270">
        <f t="shared" ca="1" si="4"/>
        <v>0</v>
      </c>
      <c r="Y111" s="270"/>
      <c r="Z111" s="270"/>
      <c r="AB111" s="272" t="str">
        <f t="shared" ca="1" si="5"/>
        <v>TinCV Ayi Jaya</v>
      </c>
    </row>
    <row r="112" spans="1:28" s="271" customFormat="1" ht="38.25">
      <c r="A112" s="215" t="s">
        <v>2707</v>
      </c>
      <c r="B112" s="216" t="str">
        <f ca="1">IF(LEN(A112)=0,"",INDEX('Smelter Look-up'!$A:$A,MATCH($A112,'Smelter Look-up'!$E:$E,0)))</f>
        <v>Tin</v>
      </c>
      <c r="C112" s="220" t="str">
        <f ca="1">IF(LEN(A112)=0,"",INDEX('Smelter Look-up'!$C:$C,MATCH($A112,'Smelter Look-up'!$E:$E,0)))</f>
        <v>PT Rajehan Ariq</v>
      </c>
      <c r="D112" s="216"/>
      <c r="E112" s="216" t="str">
        <f ca="1">IF(ISERROR($V112),"",OFFSET('Smelter Look-up'!$D$4,$V112-4,0)&amp;"")</f>
        <v>INDONESIA</v>
      </c>
      <c r="F112" s="216" t="str">
        <f ca="1">IF(ISERROR($V112),"",OFFSET('Smelter Look-up'!$E$4,$V112-4,0))</f>
        <v>CID002593</v>
      </c>
      <c r="G112" s="216" t="str">
        <f ca="1">IF(C112=$X$4,"Enter smelter details", IF(ISERROR($V112),"",OFFSET('Smelter Look-up'!$F$4,$V112-4,0)))</f>
        <v>RMI</v>
      </c>
      <c r="H112" s="217">
        <f ca="1">IF(ISERROR($V112),"",OFFSET('Smelter Look-up'!$G$4,$V112-4,0))</f>
        <v>0</v>
      </c>
      <c r="I112" s="218" t="str">
        <f ca="1">IF(ISERROR($V112),"",OFFSET('Smelter Look-up'!$H$4,$V112-4,0))</f>
        <v>Pangkal Pinang</v>
      </c>
      <c r="J112" s="218" t="str">
        <f ca="1">IF(ISERROR($V112),"",OFFSET('Smelter Look-up'!$I$4,$V112-4,0))</f>
        <v>Kepulauan Bangka Belitung</v>
      </c>
      <c r="K112" s="267"/>
      <c r="L112" s="267"/>
      <c r="M112" s="267"/>
      <c r="N112" s="267"/>
      <c r="O112" s="267"/>
      <c r="P112" s="219"/>
      <c r="Q112" s="268"/>
      <c r="R112" s="216" t="str">
        <f ca="1">IF(ISERROR($V112),"",OFFSET('Smelter Look-up'!$C$4,$V112-4,0)&amp;"")</f>
        <v>PT Rajehan Ariq</v>
      </c>
      <c r="S112" s="224" t="str">
        <f t="shared" ca="1" si="3"/>
        <v>ID</v>
      </c>
      <c r="T112" s="224" t="str">
        <f ca="1">IF(B112="","",IF(ISERROR(MATCH($J112,SorP!$B$1:$B$6230,0)),"",INDIRECT("'SorP'!$A$"&amp;MATCH($J112,SorP!$B$1:$B$6230,0))))</f>
        <v>ID-BB</v>
      </c>
      <c r="U112" s="239"/>
      <c r="V112" s="269">
        <f ca="1">IF(C112="",NA(),MATCH($B112&amp;$C112,'Smelter Look-up'!$J:$J,0))</f>
        <v>465</v>
      </c>
      <c r="W112" s="270"/>
      <c r="X112" s="270">
        <f t="shared" ca="1" si="4"/>
        <v>0</v>
      </c>
      <c r="Y112" s="270"/>
      <c r="Z112" s="270"/>
      <c r="AB112" s="272" t="str">
        <f t="shared" ca="1" si="5"/>
        <v>TinPT Rajehan Ariq</v>
      </c>
    </row>
    <row r="113" spans="1:28" s="271" customFormat="1" ht="51">
      <c r="A113" s="215" t="s">
        <v>2073</v>
      </c>
      <c r="B113" s="216" t="str">
        <f ca="1">IF(LEN(A113)=0,"",INDEX('Smelter Look-up'!$A:$A,MATCH($A113,'Smelter Look-up'!$E:$E,0)))</f>
        <v>Tin</v>
      </c>
      <c r="C113" s="220" t="str">
        <f ca="1">IF(LEN(A113)=0,"",INDEX('Smelter Look-up'!$C:$C,MATCH($A113,'Smelter Look-up'!$E:$E,0)))</f>
        <v>Metallo Belgium N.V.</v>
      </c>
      <c r="D113" s="216"/>
      <c r="E113" s="216" t="str">
        <f ca="1">IF(ISERROR($V113),"",OFFSET('Smelter Look-up'!$D$4,$V113-4,0)&amp;"")</f>
        <v>BELGIUM</v>
      </c>
      <c r="F113" s="216" t="str">
        <f ca="1">IF(ISERROR($V113),"",OFFSET('Smelter Look-up'!$E$4,$V113-4,0))</f>
        <v>CID002773</v>
      </c>
      <c r="G113" s="216" t="str">
        <f ca="1">IF(C113=$X$4,"Enter smelter details", IF(ISERROR($V113),"",OFFSET('Smelter Look-up'!$F$4,$V113-4,0)))</f>
        <v>RMI</v>
      </c>
      <c r="H113" s="217">
        <f ca="1">IF(ISERROR($V113),"",OFFSET('Smelter Look-up'!$G$4,$V113-4,0))</f>
        <v>0</v>
      </c>
      <c r="I113" s="218" t="str">
        <f ca="1">IF(ISERROR($V113),"",OFFSET('Smelter Look-up'!$H$4,$V113-4,0))</f>
        <v>Beerse</v>
      </c>
      <c r="J113" s="218" t="str">
        <f ca="1">IF(ISERROR($V113),"",OFFSET('Smelter Look-up'!$I$4,$V113-4,0))</f>
        <v>Antwerpen</v>
      </c>
      <c r="K113" s="267"/>
      <c r="L113" s="267"/>
      <c r="M113" s="267"/>
      <c r="N113" s="267"/>
      <c r="O113" s="267"/>
      <c r="P113" s="219"/>
      <c r="Q113" s="268"/>
      <c r="R113" s="216" t="str">
        <f ca="1">IF(ISERROR($V113),"",OFFSET('Smelter Look-up'!$C$4,$V113-4,0)&amp;"")</f>
        <v>Metallo Belgium N.V.</v>
      </c>
      <c r="S113" s="224" t="str">
        <f t="shared" ca="1" si="3"/>
        <v>BE</v>
      </c>
      <c r="T113" s="224" t="str">
        <f ca="1">IF(B113="","",IF(ISERROR(MATCH($J113,SorP!$B$1:$B$6230,0)),"",INDIRECT("'SorP'!$A$"&amp;MATCH($J113,SorP!$B$1:$B$6230,0))))</f>
        <v>BE-VAN</v>
      </c>
      <c r="U113" s="239"/>
      <c r="V113" s="269">
        <f ca="1">IF(C113="",NA(),MATCH($B113&amp;$C113,'Smelter Look-up'!$J:$J,0))</f>
        <v>423</v>
      </c>
      <c r="W113" s="270"/>
      <c r="X113" s="270">
        <f t="shared" ca="1" si="4"/>
        <v>0</v>
      </c>
      <c r="Y113" s="270"/>
      <c r="Z113" s="270"/>
      <c r="AB113" s="272" t="str">
        <f t="shared" ca="1" si="5"/>
        <v>TinMetallo Belgium N.V.</v>
      </c>
    </row>
    <row r="114" spans="1:28" s="271" customFormat="1" ht="51">
      <c r="A114" s="215" t="s">
        <v>2640</v>
      </c>
      <c r="B114" s="216" t="str">
        <f ca="1">IF(LEN(A114)=0,"",INDEX('Smelter Look-up'!$A:$A,MATCH($A114,'Smelter Look-up'!$E:$E,0)))</f>
        <v>Tin</v>
      </c>
      <c r="C114" s="220" t="str">
        <f ca="1">IF(LEN(A114)=0,"",INDEX('Smelter Look-up'!$C:$C,MATCH($A114,'Smelter Look-up'!$E:$E,0)))</f>
        <v>PT Bangka Prima Tin</v>
      </c>
      <c r="D114" s="216"/>
      <c r="E114" s="216" t="str">
        <f ca="1">IF(ISERROR($V114),"",OFFSET('Smelter Look-up'!$D$4,$V114-4,0)&amp;"")</f>
        <v>INDONESIA</v>
      </c>
      <c r="F114" s="216" t="str">
        <f ca="1">IF(ISERROR($V114),"",OFFSET('Smelter Look-up'!$E$4,$V114-4,0))</f>
        <v>CID002776</v>
      </c>
      <c r="G114" s="216" t="str">
        <f ca="1">IF(C114=$X$4,"Enter smelter details", IF(ISERROR($V114),"",OFFSET('Smelter Look-up'!$F$4,$V114-4,0)))</f>
        <v>RMI</v>
      </c>
      <c r="H114" s="217">
        <f ca="1">IF(ISERROR($V114),"",OFFSET('Smelter Look-up'!$G$4,$V114-4,0))</f>
        <v>0</v>
      </c>
      <c r="I114" s="218" t="str">
        <f ca="1">IF(ISERROR($V114),"",OFFSET('Smelter Look-up'!$H$4,$V114-4,0))</f>
        <v>Air Mesu</v>
      </c>
      <c r="J114" s="218" t="str">
        <f ca="1">IF(ISERROR($V114),"",OFFSET('Smelter Look-up'!$I$4,$V114-4,0))</f>
        <v>Kepulauan Bangka Belitung</v>
      </c>
      <c r="K114" s="267"/>
      <c r="L114" s="267"/>
      <c r="M114" s="267"/>
      <c r="N114" s="267"/>
      <c r="O114" s="267"/>
      <c r="P114" s="219"/>
      <c r="Q114" s="268"/>
      <c r="R114" s="216" t="str">
        <f ca="1">IF(ISERROR($V114),"",OFFSET('Smelter Look-up'!$C$4,$V114-4,0)&amp;"")</f>
        <v>PT Bangka Prima Tin</v>
      </c>
      <c r="S114" s="224" t="str">
        <f t="shared" ca="1" si="3"/>
        <v>ID</v>
      </c>
      <c r="T114" s="224" t="str">
        <f ca="1">IF(B114="","",IF(ISERROR(MATCH($J114,SorP!$B$1:$B$6230,0)),"",INDIRECT("'SorP'!$A$"&amp;MATCH($J114,SorP!$B$1:$B$6230,0))))</f>
        <v>ID-BB</v>
      </c>
      <c r="U114" s="239"/>
      <c r="V114" s="269">
        <f ca="1">IF(C114="",NA(),MATCH($B114&amp;$C114,'Smelter Look-up'!$J:$J,0))</f>
        <v>447</v>
      </c>
      <c r="W114" s="270"/>
      <c r="X114" s="270">
        <f t="shared" ca="1" si="4"/>
        <v>0</v>
      </c>
      <c r="Y114" s="270"/>
      <c r="Z114" s="270"/>
      <c r="AB114" s="272" t="str">
        <f t="shared" ca="1" si="5"/>
        <v>TinPT Bangka Prima Tin</v>
      </c>
    </row>
    <row r="115" spans="1:28" s="271" customFormat="1" ht="51">
      <c r="A115" s="215" t="s">
        <v>2677</v>
      </c>
      <c r="B115" s="216" t="str">
        <f ca="1">IF(LEN(A115)=0,"",INDEX('Smelter Look-up'!$A:$A,MATCH($A115,'Smelter Look-up'!$E:$E,0)))</f>
        <v>Tin</v>
      </c>
      <c r="C115" s="220" t="str">
        <f ca="1">IF(LEN(A115)=0,"",INDEX('Smelter Look-up'!$C:$C,MATCH($A115,'Smelter Look-up'!$E:$E,0)))</f>
        <v>PT Sukses Inti Makmur</v>
      </c>
      <c r="D115" s="216"/>
      <c r="E115" s="216" t="str">
        <f ca="1">IF(ISERROR($V115),"",OFFSET('Smelter Look-up'!$D$4,$V115-4,0)&amp;"")</f>
        <v>INDONESIA</v>
      </c>
      <c r="F115" s="216" t="str">
        <f ca="1">IF(ISERROR($V115),"",OFFSET('Smelter Look-up'!$E$4,$V115-4,0))</f>
        <v>CID002816</v>
      </c>
      <c r="G115" s="216" t="str">
        <f ca="1">IF(C115=$X$4,"Enter smelter details", IF(ISERROR($V115),"",OFFSET('Smelter Look-up'!$F$4,$V115-4,0)))</f>
        <v>RMI</v>
      </c>
      <c r="H115" s="217">
        <f ca="1">IF(ISERROR($V115),"",OFFSET('Smelter Look-up'!$G$4,$V115-4,0))</f>
        <v>0</v>
      </c>
      <c r="I115" s="218" t="str">
        <f ca="1">IF(ISERROR($V115),"",OFFSET('Smelter Look-up'!$H$4,$V115-4,0))</f>
        <v>Sungai Samak</v>
      </c>
      <c r="J115" s="218" t="str">
        <f ca="1">IF(ISERROR($V115),"",OFFSET('Smelter Look-up'!$I$4,$V115-4,0))</f>
        <v>Kepulauan Bangka Belitung</v>
      </c>
      <c r="K115" s="267"/>
      <c r="L115" s="267"/>
      <c r="M115" s="267"/>
      <c r="N115" s="267"/>
      <c r="O115" s="267"/>
      <c r="P115" s="219"/>
      <c r="Q115" s="268"/>
      <c r="R115" s="216" t="str">
        <f ca="1">IF(ISERROR($V115),"",OFFSET('Smelter Look-up'!$C$4,$V115-4,0)&amp;"")</f>
        <v>PT Sukses Inti Makmur</v>
      </c>
      <c r="S115" s="224" t="str">
        <f t="shared" ca="1" si="3"/>
        <v>ID</v>
      </c>
      <c r="T115" s="224" t="str">
        <f ca="1">IF(B115="","",IF(ISERROR(MATCH($J115,SorP!$B$1:$B$6230,0)),"",INDIRECT("'SorP'!$A$"&amp;MATCH($J115,SorP!$B$1:$B$6230,0))))</f>
        <v>ID-BB</v>
      </c>
      <c r="U115" s="239"/>
      <c r="V115" s="269">
        <f ca="1">IF(C115="",NA(),MATCH($B115&amp;$C115,'Smelter Look-up'!$J:$J,0))</f>
        <v>469</v>
      </c>
      <c r="W115" s="270"/>
      <c r="X115" s="270">
        <f t="shared" ca="1" si="4"/>
        <v>0</v>
      </c>
      <c r="Y115" s="270"/>
      <c r="Z115" s="270"/>
      <c r="AB115" s="272" t="str">
        <f t="shared" ca="1" si="5"/>
        <v>TinPT Sukses Inti Makmur</v>
      </c>
    </row>
    <row r="116" spans="1:28" s="271" customFormat="1" ht="51">
      <c r="A116" s="215" t="s">
        <v>3111</v>
      </c>
      <c r="B116" s="216" t="str">
        <f ca="1">IF(LEN(A116)=0,"",INDEX('Smelter Look-up'!$A:$A,MATCH($A116,'Smelter Look-up'!$E:$E,0)))</f>
        <v>Tin</v>
      </c>
      <c r="C116" s="220" t="str">
        <f ca="1">IF(LEN(A116)=0,"",INDEX('Smelter Look-up'!$C:$C,MATCH($A116,'Smelter Look-up'!$E:$E,0)))</f>
        <v>PT Menara Cipta Mulia</v>
      </c>
      <c r="D116" s="216"/>
      <c r="E116" s="216" t="str">
        <f ca="1">IF(ISERROR($V116),"",OFFSET('Smelter Look-up'!$D$4,$V116-4,0)&amp;"")</f>
        <v>INDONESIA</v>
      </c>
      <c r="F116" s="216" t="str">
        <f ca="1">IF(ISERROR($V116),"",OFFSET('Smelter Look-up'!$E$4,$V116-4,0))</f>
        <v>CID002835</v>
      </c>
      <c r="G116" s="216" t="str">
        <f ca="1">IF(C116=$X$4,"Enter smelter details", IF(ISERROR($V116),"",OFFSET('Smelter Look-up'!$F$4,$V116-4,0)))</f>
        <v>RMI</v>
      </c>
      <c r="H116" s="217">
        <f ca="1">IF(ISERROR($V116),"",OFFSET('Smelter Look-up'!$G$4,$V116-4,0))</f>
        <v>0</v>
      </c>
      <c r="I116" s="218" t="str">
        <f ca="1">IF(ISERROR($V116),"",OFFSET('Smelter Look-up'!$H$4,$V116-4,0))</f>
        <v>Mentawak</v>
      </c>
      <c r="J116" s="218" t="str">
        <f ca="1">IF(ISERROR($V116),"",OFFSET('Smelter Look-up'!$I$4,$V116-4,0))</f>
        <v>Kepulauan Bangka Belitung</v>
      </c>
      <c r="K116" s="267"/>
      <c r="L116" s="267"/>
      <c r="M116" s="267"/>
      <c r="N116" s="267"/>
      <c r="O116" s="267"/>
      <c r="P116" s="219"/>
      <c r="Q116" s="268"/>
      <c r="R116" s="216" t="str">
        <f ca="1">IF(ISERROR($V116),"",OFFSET('Smelter Look-up'!$C$4,$V116-4,0)&amp;"")</f>
        <v>PT Menara Cipta Mulia</v>
      </c>
      <c r="S116" s="224" t="str">
        <f t="shared" ca="1" si="3"/>
        <v>ID</v>
      </c>
      <c r="T116" s="224" t="str">
        <f ca="1">IF(B116="","",IF(ISERROR(MATCH($J116,SorP!$B$1:$B$6230,0)),"",INDIRECT("'SorP'!$A$"&amp;MATCH($J116,SorP!$B$1:$B$6230,0))))</f>
        <v>ID-BB</v>
      </c>
      <c r="U116" s="239"/>
      <c r="V116" s="269">
        <f ca="1">IF(C116="",NA(),MATCH($B116&amp;$C116,'Smelter Look-up'!$J:$J,0))</f>
        <v>459</v>
      </c>
      <c r="W116" s="270"/>
      <c r="X116" s="270">
        <f t="shared" ca="1" si="4"/>
        <v>0</v>
      </c>
      <c r="Y116" s="270"/>
      <c r="Z116" s="270"/>
      <c r="AB116" s="272" t="str">
        <f t="shared" ca="1" si="5"/>
        <v>TinPT Menara Cipta Mulia</v>
      </c>
    </row>
    <row r="117" spans="1:28" s="271" customFormat="1" ht="38.25">
      <c r="A117" s="215" t="s">
        <v>900</v>
      </c>
      <c r="B117" s="216" t="str">
        <f ca="1">IF(LEN(A117)=0,"",INDEX('Smelter Look-up'!$A:$A,MATCH($A117,'Smelter Look-up'!$E:$E,0)))</f>
        <v>Tungsten</v>
      </c>
      <c r="C117" s="220" t="str">
        <f ca="1">IF(LEN(A117)=0,"",INDEX('Smelter Look-up'!$C:$C,MATCH($A117,'Smelter Look-up'!$E:$E,0)))</f>
        <v>A.L.M.T. Corp.</v>
      </c>
      <c r="D117" s="216"/>
      <c r="E117" s="216" t="str">
        <f ca="1">IF(ISERROR($V117),"",OFFSET('Smelter Look-up'!$D$4,$V117-4,0)&amp;"")</f>
        <v>JAPAN</v>
      </c>
      <c r="F117" s="216" t="str">
        <f ca="1">IF(ISERROR($V117),"",OFFSET('Smelter Look-up'!$E$4,$V117-4,0))</f>
        <v>CID000004</v>
      </c>
      <c r="G117" s="216" t="str">
        <f ca="1">IF(C117=$X$4,"Enter smelter details", IF(ISERROR($V117),"",OFFSET('Smelter Look-up'!$F$4,$V117-4,0)))</f>
        <v>RMI</v>
      </c>
      <c r="H117" s="217">
        <f ca="1">IF(ISERROR($V117),"",OFFSET('Smelter Look-up'!$G$4,$V117-4,0))</f>
        <v>0</v>
      </c>
      <c r="I117" s="218" t="str">
        <f ca="1">IF(ISERROR($V117),"",OFFSET('Smelter Look-up'!$H$4,$V117-4,0))</f>
        <v>Toyama City</v>
      </c>
      <c r="J117" s="218" t="str">
        <f ca="1">IF(ISERROR($V117),"",OFFSET('Smelter Look-up'!$I$4,$V117-4,0))</f>
        <v>Toyama</v>
      </c>
      <c r="K117" s="267"/>
      <c r="L117" s="267"/>
      <c r="M117" s="267"/>
      <c r="N117" s="267"/>
      <c r="O117" s="267"/>
      <c r="P117" s="219"/>
      <c r="Q117" s="268"/>
      <c r="R117" s="216" t="str">
        <f ca="1">IF(ISERROR($V117),"",OFFSET('Smelter Look-up'!$C$4,$V117-4,0)&amp;"")</f>
        <v>A.L.M.T. Corp.</v>
      </c>
      <c r="S117" s="224" t="str">
        <f t="shared" ca="1" si="3"/>
        <v>JP</v>
      </c>
      <c r="T117" s="224" t="str">
        <f ca="1">IF(B117="","",IF(ISERROR(MATCH($J117,SorP!$B$1:$B$6230,0)),"",INDIRECT("'SorP'!$A$"&amp;MATCH($J117,SorP!$B$1:$B$6230,0))))</f>
        <v>JP-16</v>
      </c>
      <c r="U117" s="239"/>
      <c r="V117" s="269">
        <f ca="1">IF(C117="",NA(),MATCH($B117&amp;$C117,'Smelter Look-up'!$J:$J,0))</f>
        <v>516</v>
      </c>
      <c r="W117" s="270"/>
      <c r="X117" s="270">
        <f t="shared" ca="1" si="4"/>
        <v>0</v>
      </c>
      <c r="Y117" s="270"/>
      <c r="Z117" s="270"/>
      <c r="AB117" s="272" t="str">
        <f t="shared" ca="1" si="5"/>
        <v>TungstenA.L.M.T. Corp.</v>
      </c>
    </row>
    <row r="118" spans="1:28" s="271" customFormat="1" ht="63.75">
      <c r="A118" s="215" t="s">
        <v>901</v>
      </c>
      <c r="B118" s="216" t="str">
        <f ca="1">IF(LEN(A118)=0,"",INDEX('Smelter Look-up'!$A:$A,MATCH($A118,'Smelter Look-up'!$E:$E,0)))</f>
        <v>Tungsten</v>
      </c>
      <c r="C118" s="220" t="str">
        <f ca="1">IF(LEN(A118)=0,"",INDEX('Smelter Look-up'!$C:$C,MATCH($A118,'Smelter Look-up'!$E:$E,0)))</f>
        <v>Kennametal Huntsville</v>
      </c>
      <c r="D118" s="216"/>
      <c r="E118" s="216" t="str">
        <f ca="1">IF(ISERROR($V118),"",OFFSET('Smelter Look-up'!$D$4,$V118-4,0)&amp;"")</f>
        <v>UNITED STATES OF AMERICA</v>
      </c>
      <c r="F118" s="216" t="str">
        <f ca="1">IF(ISERROR($V118),"",OFFSET('Smelter Look-up'!$E$4,$V118-4,0))</f>
        <v>CID000105</v>
      </c>
      <c r="G118" s="216" t="str">
        <f ca="1">IF(C118=$X$4,"Enter smelter details", IF(ISERROR($V118),"",OFFSET('Smelter Look-up'!$F$4,$V118-4,0)))</f>
        <v>RMI</v>
      </c>
      <c r="H118" s="217">
        <f ca="1">IF(ISERROR($V118),"",OFFSET('Smelter Look-up'!$G$4,$V118-4,0))</f>
        <v>0</v>
      </c>
      <c r="I118" s="218" t="str">
        <f ca="1">IF(ISERROR($V118),"",OFFSET('Smelter Look-up'!$H$4,$V118-4,0))</f>
        <v>Huntsville</v>
      </c>
      <c r="J118" s="218" t="str">
        <f ca="1">IF(ISERROR($V118),"",OFFSET('Smelter Look-up'!$I$4,$V118-4,0))</f>
        <v>Alabama</v>
      </c>
      <c r="K118" s="267"/>
      <c r="L118" s="267"/>
      <c r="M118" s="267"/>
      <c r="N118" s="267"/>
      <c r="O118" s="267"/>
      <c r="P118" s="219"/>
      <c r="Q118" s="268"/>
      <c r="R118" s="216" t="str">
        <f ca="1">IF(ISERROR($V118),"",OFFSET('Smelter Look-up'!$C$4,$V118-4,0)&amp;"")</f>
        <v>Kennametal Huntsville</v>
      </c>
      <c r="S118" s="224" t="str">
        <f t="shared" ca="1" si="3"/>
        <v>US</v>
      </c>
      <c r="T118" s="224" t="str">
        <f ca="1">IF(B118="","",IF(ISERROR(MATCH($J118,SorP!$B$1:$B$6230,0)),"",INDIRECT("'SorP'!$A$"&amp;MATCH($J118,SorP!$B$1:$B$6230,0))))</f>
        <v>US-AL</v>
      </c>
      <c r="U118" s="239"/>
      <c r="V118" s="269">
        <f ca="1">IF(C118="",NA(),MATCH($B118&amp;$C118,'Smelter Look-up'!$J:$J,0))</f>
        <v>562</v>
      </c>
      <c r="W118" s="270"/>
      <c r="X118" s="270">
        <f t="shared" ca="1" si="4"/>
        <v>0</v>
      </c>
      <c r="Y118" s="270"/>
      <c r="Z118" s="270"/>
      <c r="AB118" s="272" t="str">
        <f t="shared" ca="1" si="5"/>
        <v>TungstenKennametal Huntsville</v>
      </c>
    </row>
    <row r="119" spans="1:28" s="271" customFormat="1" ht="89.25">
      <c r="A119" s="215" t="s">
        <v>902</v>
      </c>
      <c r="B119" s="216" t="str">
        <f ca="1">IF(LEN(A119)=0,"",INDEX('Smelter Look-up'!$A:$A,MATCH($A119,'Smelter Look-up'!$E:$E,0)))</f>
        <v>Tungsten</v>
      </c>
      <c r="C119" s="220" t="str">
        <f ca="1">IF(LEN(A119)=0,"",INDEX('Smelter Look-up'!$C:$C,MATCH($A119,'Smelter Look-up'!$E:$E,0)))</f>
        <v>Guangdong Xianglu Tungsten Co., Ltd.</v>
      </c>
      <c r="D119" s="216"/>
      <c r="E119" s="216" t="str">
        <f ca="1">IF(ISERROR($V119),"",OFFSET('Smelter Look-up'!$D$4,$V119-4,0)&amp;"")</f>
        <v>CHINA</v>
      </c>
      <c r="F119" s="216" t="str">
        <f ca="1">IF(ISERROR($V119),"",OFFSET('Smelter Look-up'!$E$4,$V119-4,0))</f>
        <v>CID000218</v>
      </c>
      <c r="G119" s="216" t="str">
        <f ca="1">IF(C119=$X$4,"Enter smelter details", IF(ISERROR($V119),"",OFFSET('Smelter Look-up'!$F$4,$V119-4,0)))</f>
        <v>RMI</v>
      </c>
      <c r="H119" s="217">
        <f ca="1">IF(ISERROR($V119),"",OFFSET('Smelter Look-up'!$G$4,$V119-4,0))</f>
        <v>0</v>
      </c>
      <c r="I119" s="218" t="str">
        <f ca="1">IF(ISERROR($V119),"",OFFSET('Smelter Look-up'!$H$4,$V119-4,0))</f>
        <v>Chaozhou</v>
      </c>
      <c r="J119" s="218" t="str">
        <f ca="1">IF(ISERROR($V119),"",OFFSET('Smelter Look-up'!$I$4,$V119-4,0))</f>
        <v>Guangdong Sheng</v>
      </c>
      <c r="K119" s="267"/>
      <c r="L119" s="267"/>
      <c r="M119" s="267"/>
      <c r="N119" s="267"/>
      <c r="O119" s="267"/>
      <c r="P119" s="219"/>
      <c r="Q119" s="268"/>
      <c r="R119" s="216" t="str">
        <f ca="1">IF(ISERROR($V119),"",OFFSET('Smelter Look-up'!$C$4,$V119-4,0)&amp;"")</f>
        <v>Guangdong Xianglu Tungsten Co., Ltd.</v>
      </c>
      <c r="S119" s="224" t="str">
        <f t="shared" ca="1" si="3"/>
        <v>CN</v>
      </c>
      <c r="T119" s="224" t="str">
        <f ca="1">IF(B119="","",IF(ISERROR(MATCH($J119,SorP!$B$1:$B$6230,0)),"",INDIRECT("'SorP'!$A$"&amp;MATCH($J119,SorP!$B$1:$B$6230,0))))</f>
        <v>CN-GD</v>
      </c>
      <c r="U119" s="239"/>
      <c r="V119" s="269">
        <f ca="1">IF(C119="",NA(),MATCH($B119&amp;$C119,'Smelter Look-up'!$J:$J,0))</f>
        <v>539</v>
      </c>
      <c r="W119" s="270"/>
      <c r="X119" s="270">
        <f t="shared" ca="1" si="4"/>
        <v>0</v>
      </c>
      <c r="Y119" s="270"/>
      <c r="Z119" s="270"/>
      <c r="AB119" s="272" t="str">
        <f t="shared" ca="1" si="5"/>
        <v>TungstenGuangdong Xianglu Tungsten Co., Ltd.</v>
      </c>
    </row>
    <row r="120" spans="1:28" s="271" customFormat="1" ht="102">
      <c r="A120" s="215" t="s">
        <v>903</v>
      </c>
      <c r="B120" s="216" t="str">
        <f ca="1">IF(LEN(A120)=0,"",INDEX('Smelter Look-up'!$A:$A,MATCH($A120,'Smelter Look-up'!$E:$E,0)))</f>
        <v>Tungsten</v>
      </c>
      <c r="C120" s="220" t="str">
        <f ca="1">IF(LEN(A120)=0,"",INDEX('Smelter Look-up'!$C:$C,MATCH($A120,'Smelter Look-up'!$E:$E,0)))</f>
        <v>Chongyi Zhangyuan Tungsten Co., Ltd.</v>
      </c>
      <c r="D120" s="216"/>
      <c r="E120" s="216" t="str">
        <f ca="1">IF(ISERROR($V120),"",OFFSET('Smelter Look-up'!$D$4,$V120-4,0)&amp;"")</f>
        <v>CHINA</v>
      </c>
      <c r="F120" s="216" t="str">
        <f ca="1">IF(ISERROR($V120),"",OFFSET('Smelter Look-up'!$E$4,$V120-4,0))</f>
        <v>CID000258</v>
      </c>
      <c r="G120" s="216" t="str">
        <f ca="1">IF(C120=$X$4,"Enter smelter details", IF(ISERROR($V120),"",OFFSET('Smelter Look-up'!$F$4,$V120-4,0)))</f>
        <v>RMI</v>
      </c>
      <c r="H120" s="217">
        <f ca="1">IF(ISERROR($V120),"",OFFSET('Smelter Look-up'!$G$4,$V120-4,0))</f>
        <v>0</v>
      </c>
      <c r="I120" s="218" t="str">
        <f ca="1">IF(ISERROR($V120),"",OFFSET('Smelter Look-up'!$H$4,$V120-4,0))</f>
        <v>Ganzhou</v>
      </c>
      <c r="J120" s="218" t="str">
        <f ca="1">IF(ISERROR($V120),"",OFFSET('Smelter Look-up'!$I$4,$V120-4,0))</f>
        <v>Jiangxi Sheng</v>
      </c>
      <c r="K120" s="267"/>
      <c r="L120" s="267"/>
      <c r="M120" s="267"/>
      <c r="N120" s="267"/>
      <c r="O120" s="267"/>
      <c r="P120" s="219"/>
      <c r="Q120" s="268"/>
      <c r="R120" s="216" t="str">
        <f ca="1">IF(ISERROR($V120),"",OFFSET('Smelter Look-up'!$C$4,$V120-4,0)&amp;"")</f>
        <v>Chongyi Zhangyuan Tungsten Co., Ltd.</v>
      </c>
      <c r="S120" s="224" t="str">
        <f t="shared" ca="1" si="3"/>
        <v>CN</v>
      </c>
      <c r="T120" s="224" t="str">
        <f ca="1">IF(B120="","",IF(ISERROR(MATCH($J120,SorP!$B$1:$B$6230,0)),"",INDIRECT("'SorP'!$A$"&amp;MATCH($J120,SorP!$B$1:$B$6230,0))))</f>
        <v>CN-JX</v>
      </c>
      <c r="U120" s="239"/>
      <c r="V120" s="269">
        <f ca="1">IF(C120="",NA(),MATCH($B120&amp;$C120,'Smelter Look-up'!$J:$J,0))</f>
        <v>529</v>
      </c>
      <c r="W120" s="270"/>
      <c r="X120" s="270">
        <f t="shared" ca="1" si="4"/>
        <v>0</v>
      </c>
      <c r="Y120" s="270"/>
      <c r="Z120" s="270"/>
      <c r="AB120" s="272" t="str">
        <f t="shared" ca="1" si="5"/>
        <v>TungstenChongyi Zhangyuan Tungsten Co., Ltd.</v>
      </c>
    </row>
    <row r="121" spans="1:28" s="271" customFormat="1" ht="76.5">
      <c r="A121" s="215" t="s">
        <v>905</v>
      </c>
      <c r="B121" s="216" t="str">
        <f ca="1">IF(LEN(A121)=0,"",INDEX('Smelter Look-up'!$A:$A,MATCH($A121,'Smelter Look-up'!$E:$E,0)))</f>
        <v>Tungsten</v>
      </c>
      <c r="C121" s="220" t="str">
        <f ca="1">IF(LEN(A121)=0,"",INDEX('Smelter Look-up'!$C:$C,MATCH($A121,'Smelter Look-up'!$E:$E,0)))</f>
        <v>Global Tungsten &amp; Powders Corp.</v>
      </c>
      <c r="D121" s="216"/>
      <c r="E121" s="216" t="str">
        <f ca="1">IF(ISERROR($V121),"",OFFSET('Smelter Look-up'!$D$4,$V121-4,0)&amp;"")</f>
        <v>UNITED STATES OF AMERICA</v>
      </c>
      <c r="F121" s="216" t="str">
        <f ca="1">IF(ISERROR($V121),"",OFFSET('Smelter Look-up'!$E$4,$V121-4,0))</f>
        <v>CID000568</v>
      </c>
      <c r="G121" s="216" t="str">
        <f ca="1">IF(C121=$X$4,"Enter smelter details", IF(ISERROR($V121),"",OFFSET('Smelter Look-up'!$F$4,$V121-4,0)))</f>
        <v>RMI</v>
      </c>
      <c r="H121" s="217">
        <f ca="1">IF(ISERROR($V121),"",OFFSET('Smelter Look-up'!$G$4,$V121-4,0))</f>
        <v>0</v>
      </c>
      <c r="I121" s="218" t="str">
        <f ca="1">IF(ISERROR($V121),"",OFFSET('Smelter Look-up'!$H$4,$V121-4,0))</f>
        <v>Towanda</v>
      </c>
      <c r="J121" s="218" t="str">
        <f ca="1">IF(ISERROR($V121),"",OFFSET('Smelter Look-up'!$I$4,$V121-4,0))</f>
        <v>Pennsylvania</v>
      </c>
      <c r="K121" s="267"/>
      <c r="L121" s="267"/>
      <c r="M121" s="267"/>
      <c r="N121" s="267"/>
      <c r="O121" s="267"/>
      <c r="P121" s="219"/>
      <c r="Q121" s="268"/>
      <c r="R121" s="216" t="str">
        <f ca="1">IF(ISERROR($V121),"",OFFSET('Smelter Look-up'!$C$4,$V121-4,0)&amp;"")</f>
        <v>Global Tungsten &amp; Powders Corp.</v>
      </c>
      <c r="S121" s="224" t="str">
        <f t="shared" ca="1" si="3"/>
        <v>US</v>
      </c>
      <c r="T121" s="224" t="str">
        <f ca="1">IF(B121="","",IF(ISERROR(MATCH($J121,SorP!$B$1:$B$6230,0)),"",INDIRECT("'SorP'!$A$"&amp;MATCH($J121,SorP!$B$1:$B$6230,0))))</f>
        <v>US-PA</v>
      </c>
      <c r="U121" s="239"/>
      <c r="V121" s="269">
        <f ca="1">IF(C121="",NA(),MATCH($B121&amp;$C121,'Smelter Look-up'!$J:$J,0))</f>
        <v>537</v>
      </c>
      <c r="W121" s="270"/>
      <c r="X121" s="270">
        <f t="shared" ca="1" si="4"/>
        <v>0</v>
      </c>
      <c r="Y121" s="270"/>
      <c r="Z121" s="270"/>
      <c r="AB121" s="272" t="str">
        <f t="shared" ca="1" si="5"/>
        <v>TungstenGlobal Tungsten &amp; Powders Corp.</v>
      </c>
    </row>
    <row r="122" spans="1:28" s="271" customFormat="1" ht="114.75">
      <c r="A122" s="215" t="s">
        <v>907</v>
      </c>
      <c r="B122" s="216" t="str">
        <f ca="1">IF(LEN(A122)=0,"",INDEX('Smelter Look-up'!$A:$A,MATCH($A122,'Smelter Look-up'!$E:$E,0)))</f>
        <v>Tungsten</v>
      </c>
      <c r="C122" s="220" t="str">
        <f ca="1">IF(LEN(A122)=0,"",INDEX('Smelter Look-up'!$C:$C,MATCH($A122,'Smelter Look-up'!$E:$E,0)))</f>
        <v>Hunan Chunchang Nonferrous Metals Co., Ltd.</v>
      </c>
      <c r="D122" s="216"/>
      <c r="E122" s="216" t="str">
        <f ca="1">IF(ISERROR($V122),"",OFFSET('Smelter Look-up'!$D$4,$V122-4,0)&amp;"")</f>
        <v>CHINA</v>
      </c>
      <c r="F122" s="216" t="str">
        <f ca="1">IF(ISERROR($V122),"",OFFSET('Smelter Look-up'!$E$4,$V122-4,0))</f>
        <v>CID000769</v>
      </c>
      <c r="G122" s="216" t="str">
        <f ca="1">IF(C122=$X$4,"Enter smelter details", IF(ISERROR($V122),"",OFFSET('Smelter Look-up'!$F$4,$V122-4,0)))</f>
        <v>RMI</v>
      </c>
      <c r="H122" s="217">
        <f ca="1">IF(ISERROR($V122),"",OFFSET('Smelter Look-up'!$G$4,$V122-4,0))</f>
        <v>0</v>
      </c>
      <c r="I122" s="218" t="str">
        <f ca="1">IF(ISERROR($V122),"",OFFSET('Smelter Look-up'!$H$4,$V122-4,0))</f>
        <v>Hengyang</v>
      </c>
      <c r="J122" s="218" t="str">
        <f ca="1">IF(ISERROR($V122),"",OFFSET('Smelter Look-up'!$I$4,$V122-4,0))</f>
        <v>Hunan Sheng</v>
      </c>
      <c r="K122" s="267"/>
      <c r="L122" s="267"/>
      <c r="M122" s="267"/>
      <c r="N122" s="267"/>
      <c r="O122" s="267"/>
      <c r="P122" s="219"/>
      <c r="Q122" s="268"/>
      <c r="R122" s="216" t="str">
        <f ca="1">IF(ISERROR($V122),"",OFFSET('Smelter Look-up'!$C$4,$V122-4,0)&amp;"")</f>
        <v>Hunan Chunchang Nonferrous Metals Co., Ltd.</v>
      </c>
      <c r="S122" s="224" t="str">
        <f t="shared" ca="1" si="3"/>
        <v>CN</v>
      </c>
      <c r="T122" s="224" t="str">
        <f ca="1">IF(B122="","",IF(ISERROR(MATCH($J122,SorP!$B$1:$B$6230,0)),"",INDIRECT("'SorP'!$A$"&amp;MATCH($J122,SorP!$B$1:$B$6230,0))))</f>
        <v>CN-HN</v>
      </c>
      <c r="U122" s="239"/>
      <c r="V122" s="269">
        <f ca="1">IF(C122="",NA(),MATCH($B122&amp;$C122,'Smelter Look-up'!$J:$J,0))</f>
        <v>547</v>
      </c>
      <c r="W122" s="270"/>
      <c r="X122" s="270">
        <f t="shared" ca="1" si="4"/>
        <v>0</v>
      </c>
      <c r="Y122" s="270"/>
      <c r="Z122" s="270"/>
      <c r="AB122" s="272" t="str">
        <f t="shared" ca="1" si="5"/>
        <v>TungstenHunan Chunchang Nonferrous Metals Co., Ltd.</v>
      </c>
    </row>
    <row r="123" spans="1:28" s="271" customFormat="1" ht="76.5">
      <c r="A123" s="215" t="s">
        <v>908</v>
      </c>
      <c r="B123" s="216" t="str">
        <f ca="1">IF(LEN(A123)=0,"",INDEX('Smelter Look-up'!$A:$A,MATCH($A123,'Smelter Look-up'!$E:$E,0)))</f>
        <v>Tungsten</v>
      </c>
      <c r="C123" s="220" t="str">
        <f ca="1">IF(LEN(A123)=0,"",INDEX('Smelter Look-up'!$C:$C,MATCH($A123,'Smelter Look-up'!$E:$E,0)))</f>
        <v>Japan New Metals Co., Ltd.</v>
      </c>
      <c r="D123" s="216"/>
      <c r="E123" s="216" t="str">
        <f ca="1">IF(ISERROR($V123),"",OFFSET('Smelter Look-up'!$D$4,$V123-4,0)&amp;"")</f>
        <v>JAPAN</v>
      </c>
      <c r="F123" s="216" t="str">
        <f ca="1">IF(ISERROR($V123),"",OFFSET('Smelter Look-up'!$E$4,$V123-4,0))</f>
        <v>CID000825</v>
      </c>
      <c r="G123" s="216" t="str">
        <f ca="1">IF(C123=$X$4,"Enter smelter details", IF(ISERROR($V123),"",OFFSET('Smelter Look-up'!$F$4,$V123-4,0)))</f>
        <v>RMI</v>
      </c>
      <c r="H123" s="217">
        <f ca="1">IF(ISERROR($V123),"",OFFSET('Smelter Look-up'!$G$4,$V123-4,0))</f>
        <v>0</v>
      </c>
      <c r="I123" s="218" t="str">
        <f ca="1">IF(ISERROR($V123),"",OFFSET('Smelter Look-up'!$H$4,$V123-4,0))</f>
        <v>Akita City</v>
      </c>
      <c r="J123" s="218" t="str">
        <f ca="1">IF(ISERROR($V123),"",OFFSET('Smelter Look-up'!$I$4,$V123-4,0))</f>
        <v>Akita</v>
      </c>
      <c r="K123" s="267"/>
      <c r="L123" s="267"/>
      <c r="M123" s="267"/>
      <c r="N123" s="267"/>
      <c r="O123" s="267"/>
      <c r="P123" s="219"/>
      <c r="Q123" s="268"/>
      <c r="R123" s="216" t="str">
        <f ca="1">IF(ISERROR($V123),"",OFFSET('Smelter Look-up'!$C$4,$V123-4,0)&amp;"")</f>
        <v>Japan New Metals Co., Ltd.</v>
      </c>
      <c r="S123" s="224" t="str">
        <f t="shared" ca="1" si="3"/>
        <v>JP</v>
      </c>
      <c r="T123" s="224" t="str">
        <f ca="1">IF(B123="","",IF(ISERROR(MATCH($J123,SorP!$B$1:$B$6230,0)),"",INDIRECT("'SorP'!$A$"&amp;MATCH($J123,SorP!$B$1:$B$6230,0))))</f>
        <v>JP-05</v>
      </c>
      <c r="U123" s="239"/>
      <c r="V123" s="269">
        <f ca="1">IF(C123="",NA(),MATCH($B123&amp;$C123,'Smelter Look-up'!$J:$J,0))</f>
        <v>550</v>
      </c>
      <c r="W123" s="270"/>
      <c r="X123" s="270">
        <f t="shared" ca="1" si="4"/>
        <v>0</v>
      </c>
      <c r="Y123" s="270"/>
      <c r="Z123" s="270"/>
      <c r="AB123" s="272" t="str">
        <f t="shared" ca="1" si="5"/>
        <v>TungstenJapan New Metals Co., Ltd.</v>
      </c>
    </row>
    <row r="124" spans="1:28" s="271" customFormat="1" ht="114.75">
      <c r="A124" s="215" t="s">
        <v>909</v>
      </c>
      <c r="B124" s="216" t="str">
        <f ca="1">IF(LEN(A124)=0,"",INDEX('Smelter Look-up'!$A:$A,MATCH($A124,'Smelter Look-up'!$E:$E,0)))</f>
        <v>Tungsten</v>
      </c>
      <c r="C124" s="220" t="str">
        <f ca="1">IF(LEN(A124)=0,"",INDEX('Smelter Look-up'!$C:$C,MATCH($A124,'Smelter Look-up'!$E:$E,0)))</f>
        <v>Ganzhou Huaxing Tungsten Products Co., Ltd.</v>
      </c>
      <c r="D124" s="216"/>
      <c r="E124" s="216" t="str">
        <f ca="1">IF(ISERROR($V124),"",OFFSET('Smelter Look-up'!$D$4,$V124-4,0)&amp;"")</f>
        <v>CHINA</v>
      </c>
      <c r="F124" s="216" t="str">
        <f ca="1">IF(ISERROR($V124),"",OFFSET('Smelter Look-up'!$E$4,$V124-4,0))</f>
        <v>CID000875</v>
      </c>
      <c r="G124" s="216" t="str">
        <f ca="1">IF(C124=$X$4,"Enter smelter details", IF(ISERROR($V124),"",OFFSET('Smelter Look-up'!$F$4,$V124-4,0)))</f>
        <v>RMI</v>
      </c>
      <c r="H124" s="217">
        <f ca="1">IF(ISERROR($V124),"",OFFSET('Smelter Look-up'!$G$4,$V124-4,0))</f>
        <v>0</v>
      </c>
      <c r="I124" s="218" t="str">
        <f ca="1">IF(ISERROR($V124),"",OFFSET('Smelter Look-up'!$H$4,$V124-4,0))</f>
        <v>Ganzhou</v>
      </c>
      <c r="J124" s="218" t="str">
        <f ca="1">IF(ISERROR($V124),"",OFFSET('Smelter Look-up'!$I$4,$V124-4,0))</f>
        <v>Jiangxi Sheng</v>
      </c>
      <c r="K124" s="267"/>
      <c r="L124" s="267"/>
      <c r="M124" s="267"/>
      <c r="N124" s="267"/>
      <c r="O124" s="267"/>
      <c r="P124" s="219"/>
      <c r="Q124" s="268"/>
      <c r="R124" s="216" t="str">
        <f ca="1">IF(ISERROR($V124),"",OFFSET('Smelter Look-up'!$C$4,$V124-4,0)&amp;"")</f>
        <v>Ganzhou Huaxing Tungsten Products Co., Ltd.</v>
      </c>
      <c r="S124" s="224" t="str">
        <f t="shared" ca="1" si="3"/>
        <v>CN</v>
      </c>
      <c r="T124" s="224" t="str">
        <f ca="1">IF(B124="","",IF(ISERROR(MATCH($J124,SorP!$B$1:$B$6230,0)),"",INDIRECT("'SorP'!$A$"&amp;MATCH($J124,SorP!$B$1:$B$6230,0))))</f>
        <v>CN-JX</v>
      </c>
      <c r="U124" s="239"/>
      <c r="V124" s="269">
        <f ca="1">IF(C124="",NA(),MATCH($B124&amp;$C124,'Smelter Look-up'!$J:$J,0))</f>
        <v>534</v>
      </c>
      <c r="W124" s="270"/>
      <c r="X124" s="270">
        <f t="shared" ca="1" si="4"/>
        <v>0</v>
      </c>
      <c r="Y124" s="270"/>
      <c r="Z124" s="270"/>
      <c r="AB124" s="272" t="str">
        <f t="shared" ca="1" si="5"/>
        <v>TungstenGanzhou Huaxing Tungsten Products Co., Ltd.</v>
      </c>
    </row>
    <row r="125" spans="1:28" s="271" customFormat="1" ht="89.25">
      <c r="A125" s="215" t="s">
        <v>911</v>
      </c>
      <c r="B125" s="216" t="str">
        <f ca="1">IF(LEN(A125)=0,"",INDEX('Smelter Look-up'!$A:$A,MATCH($A125,'Smelter Look-up'!$E:$E,0)))</f>
        <v>Tungsten</v>
      </c>
      <c r="C125" s="220" t="str">
        <f ca="1">IF(LEN(A125)=0,"",INDEX('Smelter Look-up'!$C:$C,MATCH($A125,'Smelter Look-up'!$E:$E,0)))</f>
        <v>Tejing (Vietnam) Tungsten Co., Ltd.</v>
      </c>
      <c r="D125" s="216"/>
      <c r="E125" s="216" t="str">
        <f ca="1">IF(ISERROR($V125),"",OFFSET('Smelter Look-up'!$D$4,$V125-4,0)&amp;"")</f>
        <v>VIET NAM</v>
      </c>
      <c r="F125" s="216" t="str">
        <f ca="1">IF(ISERROR($V125),"",OFFSET('Smelter Look-up'!$E$4,$V125-4,0))</f>
        <v>CID001889</v>
      </c>
      <c r="G125" s="216" t="str">
        <f ca="1">IF(C125=$X$4,"Enter smelter details", IF(ISERROR($V125),"",OFFSET('Smelter Look-up'!$F$4,$V125-4,0)))</f>
        <v>RMI</v>
      </c>
      <c r="H125" s="217">
        <f ca="1">IF(ISERROR($V125),"",OFFSET('Smelter Look-up'!$G$4,$V125-4,0))</f>
        <v>0</v>
      </c>
      <c r="I125" s="218" t="str">
        <f ca="1">IF(ISERROR($V125),"",OFFSET('Smelter Look-up'!$H$4,$V125-4,0))</f>
        <v>Halong City</v>
      </c>
      <c r="J125" s="218" t="str">
        <f ca="1">IF(ISERROR($V125),"",OFFSET('Smelter Look-up'!$I$4,$V125-4,0))</f>
        <v>Tây Ninh</v>
      </c>
      <c r="K125" s="267"/>
      <c r="L125" s="267"/>
      <c r="M125" s="267"/>
      <c r="N125" s="267"/>
      <c r="O125" s="267"/>
      <c r="P125" s="219"/>
      <c r="Q125" s="268"/>
      <c r="R125" s="216" t="str">
        <f ca="1">IF(ISERROR($V125),"",OFFSET('Smelter Look-up'!$C$4,$V125-4,0)&amp;"")</f>
        <v>Tejing (Vietnam) Tungsten Co., Ltd.</v>
      </c>
      <c r="S125" s="224" t="str">
        <f t="shared" ca="1" si="3"/>
        <v>VN</v>
      </c>
      <c r="T125" s="224" t="str">
        <f ca="1">IF(B125="","",IF(ISERROR(MATCH($J125,SorP!$B$1:$B$6230,0)),"",INDIRECT("'SorP'!$A$"&amp;MATCH($J125,SorP!$B$1:$B$6230,0))))</f>
        <v>VN-37</v>
      </c>
      <c r="U125" s="239"/>
      <c r="V125" s="269">
        <f ca="1">IF(C125="",NA(),MATCH($B125&amp;$C125,'Smelter Look-up'!$J:$J,0))</f>
        <v>573</v>
      </c>
      <c r="W125" s="270"/>
      <c r="X125" s="270">
        <f t="shared" ca="1" si="4"/>
        <v>0</v>
      </c>
      <c r="Y125" s="270"/>
      <c r="Z125" s="270"/>
      <c r="AB125" s="272" t="str">
        <f t="shared" ca="1" si="5"/>
        <v>TungstenTejing (Vietnam) Tungsten Co., Ltd.</v>
      </c>
    </row>
    <row r="126" spans="1:28" s="271" customFormat="1" ht="89.25">
      <c r="A126" s="215" t="s">
        <v>912</v>
      </c>
      <c r="B126" s="216" t="str">
        <f ca="1">IF(LEN(A126)=0,"",INDEX('Smelter Look-up'!$A:$A,MATCH($A126,'Smelter Look-up'!$E:$E,0)))</f>
        <v>Tungsten</v>
      </c>
      <c r="C126" s="220" t="str">
        <f ca="1">IF(LEN(A126)=0,"",INDEX('Smelter Look-up'!$C:$C,MATCH($A126,'Smelter Look-up'!$E:$E,0)))</f>
        <v>Wolfram Bergbau und Hutten AG</v>
      </c>
      <c r="D126" s="216"/>
      <c r="E126" s="216" t="str">
        <f ca="1">IF(ISERROR($V126),"",OFFSET('Smelter Look-up'!$D$4,$V126-4,0)&amp;"")</f>
        <v>AUSTRIA</v>
      </c>
      <c r="F126" s="216" t="str">
        <f ca="1">IF(ISERROR($V126),"",OFFSET('Smelter Look-up'!$E$4,$V126-4,0))</f>
        <v>CID002044</v>
      </c>
      <c r="G126" s="216" t="str">
        <f ca="1">IF(C126=$X$4,"Enter smelter details", IF(ISERROR($V126),"",OFFSET('Smelter Look-up'!$F$4,$V126-4,0)))</f>
        <v>RMI</v>
      </c>
      <c r="H126" s="217">
        <f ca="1">IF(ISERROR($V126),"",OFFSET('Smelter Look-up'!$G$4,$V126-4,0))</f>
        <v>0</v>
      </c>
      <c r="I126" s="218" t="str">
        <f ca="1">IF(ISERROR($V126),"",OFFSET('Smelter Look-up'!$H$4,$V126-4,0))</f>
        <v>St. Martin i-S</v>
      </c>
      <c r="J126" s="218" t="str">
        <f ca="1">IF(ISERROR($V126),"",OFFSET('Smelter Look-up'!$I$4,$V126-4,0))</f>
        <v>Steiermark</v>
      </c>
      <c r="K126" s="267"/>
      <c r="L126" s="267"/>
      <c r="M126" s="267"/>
      <c r="N126" s="267"/>
      <c r="O126" s="267"/>
      <c r="P126" s="219"/>
      <c r="Q126" s="268"/>
      <c r="R126" s="216" t="str">
        <f ca="1">IF(ISERROR($V126),"",OFFSET('Smelter Look-up'!$C$4,$V126-4,0)&amp;"")</f>
        <v>Wolfram Bergbau und Hutten AG</v>
      </c>
      <c r="S126" s="224" t="str">
        <f t="shared" ca="1" si="3"/>
        <v>AT</v>
      </c>
      <c r="T126" s="224" t="str">
        <f ca="1">IF(B126="","",IF(ISERROR(MATCH($J126,SorP!$B$1:$B$6230,0)),"",INDIRECT("'SorP'!$A$"&amp;MATCH($J126,SorP!$B$1:$B$6230,0))))</f>
        <v>AT-6</v>
      </c>
      <c r="U126" s="239"/>
      <c r="V126" s="269">
        <f ca="1">IF(C126="",NA(),MATCH($B126&amp;$C126,'Smelter Look-up'!$J:$J,0))</f>
        <v>577</v>
      </c>
      <c r="W126" s="270"/>
      <c r="X126" s="270">
        <f t="shared" ca="1" si="4"/>
        <v>0</v>
      </c>
      <c r="Y126" s="270"/>
      <c r="Z126" s="270"/>
      <c r="AB126" s="272" t="str">
        <f t="shared" ca="1" si="5"/>
        <v>TungstenWolfram Bergbau und Hutten AG</v>
      </c>
    </row>
    <row r="127" spans="1:28" s="271" customFormat="1" ht="63.75">
      <c r="A127" s="215" t="s">
        <v>913</v>
      </c>
      <c r="B127" s="216" t="str">
        <f ca="1">IF(LEN(A127)=0,"",INDEX('Smelter Look-up'!$A:$A,MATCH($A127,'Smelter Look-up'!$E:$E,0)))</f>
        <v>Tungsten</v>
      </c>
      <c r="C127" s="220" t="str">
        <f ca="1">IF(LEN(A127)=0,"",INDEX('Smelter Look-up'!$C:$C,MATCH($A127,'Smelter Look-up'!$E:$E,0)))</f>
        <v>Xiamen Tungsten Co., Ltd.</v>
      </c>
      <c r="D127" s="216"/>
      <c r="E127" s="216" t="str">
        <f ca="1">IF(ISERROR($V127),"",OFFSET('Smelter Look-up'!$D$4,$V127-4,0)&amp;"")</f>
        <v>CHINA</v>
      </c>
      <c r="F127" s="216" t="str">
        <f ca="1">IF(ISERROR($V127),"",OFFSET('Smelter Look-up'!$E$4,$V127-4,0))</f>
        <v>CID002082</v>
      </c>
      <c r="G127" s="216" t="str">
        <f ca="1">IF(C127=$X$4,"Enter smelter details", IF(ISERROR($V127),"",OFFSET('Smelter Look-up'!$F$4,$V127-4,0)))</f>
        <v>RMI</v>
      </c>
      <c r="H127" s="217">
        <f ca="1">IF(ISERROR($V127),"",OFFSET('Smelter Look-up'!$G$4,$V127-4,0))</f>
        <v>0</v>
      </c>
      <c r="I127" s="218" t="str">
        <f ca="1">IF(ISERROR($V127),"",OFFSET('Smelter Look-up'!$H$4,$V127-4,0))</f>
        <v>Xiamen</v>
      </c>
      <c r="J127" s="218" t="str">
        <f ca="1">IF(ISERROR($V127),"",OFFSET('Smelter Look-up'!$I$4,$V127-4,0))</f>
        <v>Fujian Sheng</v>
      </c>
      <c r="K127" s="267"/>
      <c r="L127" s="267"/>
      <c r="M127" s="267"/>
      <c r="N127" s="267"/>
      <c r="O127" s="267"/>
      <c r="P127" s="219"/>
      <c r="Q127" s="268"/>
      <c r="R127" s="216" t="str">
        <f ca="1">IF(ISERROR($V127),"",OFFSET('Smelter Look-up'!$C$4,$V127-4,0)&amp;"")</f>
        <v>Xiamen Tungsten Co., Ltd.</v>
      </c>
      <c r="S127" s="224" t="str">
        <f t="shared" ca="1" si="3"/>
        <v>CN</v>
      </c>
      <c r="T127" s="224" t="str">
        <f ca="1">IF(B127="","",IF(ISERROR(MATCH($J127,SorP!$B$1:$B$6230,0)),"",INDIRECT("'SorP'!$A$"&amp;MATCH($J127,SorP!$B$1:$B$6230,0))))</f>
        <v>CN-FJ</v>
      </c>
      <c r="U127" s="239"/>
      <c r="V127" s="269">
        <f ca="1">IF(C127="",NA(),MATCH($B127&amp;$C127,'Smelter Look-up'!$J:$J,0))</f>
        <v>582</v>
      </c>
      <c r="W127" s="270"/>
      <c r="X127" s="270">
        <f t="shared" ca="1" si="4"/>
        <v>0</v>
      </c>
      <c r="Y127" s="270"/>
      <c r="Z127" s="270"/>
      <c r="AB127" s="272" t="str">
        <f t="shared" ca="1" si="5"/>
        <v>TungstenXiamen Tungsten Co., Ltd.</v>
      </c>
    </row>
    <row r="128" spans="1:28" s="271" customFormat="1" ht="102">
      <c r="A128" s="215" t="s">
        <v>915</v>
      </c>
      <c r="B128" s="216" t="str">
        <f ca="1">IF(LEN(A128)=0,"",INDEX('Smelter Look-up'!$A:$A,MATCH($A128,'Smelter Look-up'!$E:$E,0)))</f>
        <v>Tungsten</v>
      </c>
      <c r="C128" s="220" t="str">
        <f ca="1">IF(LEN(A128)=0,"",INDEX('Smelter Look-up'!$C:$C,MATCH($A128,'Smelter Look-up'!$E:$E,0)))</f>
        <v>Xinhai Rendan Shaoguan Tungsten Co., Ltd.</v>
      </c>
      <c r="D128" s="216"/>
      <c r="E128" s="216" t="str">
        <f ca="1">IF(ISERROR($V128),"",OFFSET('Smelter Look-up'!$D$4,$V128-4,0)&amp;"")</f>
        <v>CHINA</v>
      </c>
      <c r="F128" s="216" t="str">
        <f ca="1">IF(ISERROR($V128),"",OFFSET('Smelter Look-up'!$E$4,$V128-4,0))</f>
        <v>CID002095</v>
      </c>
      <c r="G128" s="216" t="str">
        <f ca="1">IF(C128=$X$4,"Enter smelter details", IF(ISERROR($V128),"",OFFSET('Smelter Look-up'!$F$4,$V128-4,0)))</f>
        <v>RMI</v>
      </c>
      <c r="H128" s="217">
        <f ca="1">IF(ISERROR($V128),"",OFFSET('Smelter Look-up'!$G$4,$V128-4,0))</f>
        <v>0</v>
      </c>
      <c r="I128" s="218" t="str">
        <f ca="1">IF(ISERROR($V128),"",OFFSET('Smelter Look-up'!$H$4,$V128-4,0))</f>
        <v>Shaoguan</v>
      </c>
      <c r="J128" s="218" t="str">
        <f ca="1">IF(ISERROR($V128),"",OFFSET('Smelter Look-up'!$I$4,$V128-4,0))</f>
        <v>Guangdong Sheng</v>
      </c>
      <c r="K128" s="267"/>
      <c r="L128" s="267"/>
      <c r="M128" s="267"/>
      <c r="N128" s="267"/>
      <c r="O128" s="267"/>
      <c r="P128" s="219"/>
      <c r="Q128" s="268"/>
      <c r="R128" s="216" t="str">
        <f ca="1">IF(ISERROR($V128),"",OFFSET('Smelter Look-up'!$C$4,$V128-4,0)&amp;"")</f>
        <v>Xinhai Rendan Shaoguan Tungsten Co., Ltd.</v>
      </c>
      <c r="S128" s="224" t="str">
        <f t="shared" ca="1" si="3"/>
        <v>CN</v>
      </c>
      <c r="T128" s="224" t="str">
        <f ca="1">IF(B128="","",IF(ISERROR(MATCH($J128,SorP!$B$1:$B$6230,0)),"",INDIRECT("'SorP'!$A$"&amp;MATCH($J128,SorP!$B$1:$B$6230,0))))</f>
        <v>CN-GD</v>
      </c>
      <c r="U128" s="239"/>
      <c r="V128" s="269">
        <f ca="1">IF(C128="",NA(),MATCH($B128&amp;$C128,'Smelter Look-up'!$J:$J,0))</f>
        <v>584</v>
      </c>
      <c r="W128" s="270"/>
      <c r="X128" s="270">
        <f t="shared" ca="1" si="4"/>
        <v>0</v>
      </c>
      <c r="Y128" s="270"/>
      <c r="Z128" s="270"/>
      <c r="AB128" s="272" t="str">
        <f t="shared" ca="1" si="5"/>
        <v>TungstenXinhai Rendan Shaoguan Tungsten Co., Ltd.</v>
      </c>
    </row>
    <row r="129" spans="1:28" s="271" customFormat="1" ht="89.25">
      <c r="A129" s="215" t="s">
        <v>151</v>
      </c>
      <c r="B129" s="216" t="str">
        <f ca="1">IF(LEN(A129)=0,"",INDEX('Smelter Look-up'!$A:$A,MATCH($A129,'Smelter Look-up'!$E:$E,0)))</f>
        <v>Tungsten</v>
      </c>
      <c r="C129" s="220" t="str">
        <f ca="1">IF(LEN(A129)=0,"",INDEX('Smelter Look-up'!$C:$C,MATCH($A129,'Smelter Look-up'!$E:$E,0)))</f>
        <v>Jiangxi Yaosheng Tungsten Co., Ltd.</v>
      </c>
      <c r="D129" s="216"/>
      <c r="E129" s="216" t="str">
        <f ca="1">IF(ISERROR($V129),"",OFFSET('Smelter Look-up'!$D$4,$V129-4,0)&amp;"")</f>
        <v>CHINA</v>
      </c>
      <c r="F129" s="216" t="str">
        <f ca="1">IF(ISERROR($V129),"",OFFSET('Smelter Look-up'!$E$4,$V129-4,0))</f>
        <v>CID002316</v>
      </c>
      <c r="G129" s="216" t="str">
        <f ca="1">IF(C129=$X$4,"Enter smelter details", IF(ISERROR($V129),"",OFFSET('Smelter Look-up'!$F$4,$V129-4,0)))</f>
        <v>RMI</v>
      </c>
      <c r="H129" s="217">
        <f ca="1">IF(ISERROR($V129),"",OFFSET('Smelter Look-up'!$G$4,$V129-4,0))</f>
        <v>0</v>
      </c>
      <c r="I129" s="218" t="str">
        <f ca="1">IF(ISERROR($V129),"",OFFSET('Smelter Look-up'!$H$4,$V129-4,0))</f>
        <v>Ganzhou</v>
      </c>
      <c r="J129" s="218" t="str">
        <f ca="1">IF(ISERROR($V129),"",OFFSET('Smelter Look-up'!$I$4,$V129-4,0))</f>
        <v>Jiangxi Sheng</v>
      </c>
      <c r="K129" s="267"/>
      <c r="L129" s="267"/>
      <c r="M129" s="267"/>
      <c r="N129" s="267"/>
      <c r="O129" s="267"/>
      <c r="P129" s="219"/>
      <c r="Q129" s="268"/>
      <c r="R129" s="216" t="str">
        <f ca="1">IF(ISERROR($V129),"",OFFSET('Smelter Look-up'!$C$4,$V129-4,0)&amp;"")</f>
        <v>Jiangxi Yaosheng Tungsten Co., Ltd.</v>
      </c>
      <c r="S129" s="224" t="str">
        <f t="shared" ca="1" si="3"/>
        <v>CN</v>
      </c>
      <c r="T129" s="224" t="str">
        <f ca="1">IF(B129="","",IF(ISERROR(MATCH($J129,SorP!$B$1:$B$6230,0)),"",INDIRECT("'SorP'!$A$"&amp;MATCH($J129,SorP!$B$1:$B$6230,0))))</f>
        <v>CN-JX</v>
      </c>
      <c r="U129" s="239"/>
      <c r="V129" s="269">
        <f ca="1">IF(C129="",NA(),MATCH($B129&amp;$C129,'Smelter Look-up'!$J:$J,0))</f>
        <v>559</v>
      </c>
      <c r="W129" s="270"/>
      <c r="X129" s="270">
        <f t="shared" ca="1" si="4"/>
        <v>0</v>
      </c>
      <c r="Y129" s="270"/>
      <c r="Z129" s="270"/>
      <c r="AB129" s="272" t="str">
        <f t="shared" ca="1" si="5"/>
        <v>TungstenJiangxi Yaosheng Tungsten Co., Ltd.</v>
      </c>
    </row>
    <row r="130" spans="1:28" s="271" customFormat="1" ht="114.75">
      <c r="A130" s="215" t="s">
        <v>152</v>
      </c>
      <c r="B130" s="216" t="str">
        <f ca="1">IF(LEN(A130)=0,"",INDEX('Smelter Look-up'!$A:$A,MATCH($A130,'Smelter Look-up'!$E:$E,0)))</f>
        <v>Tungsten</v>
      </c>
      <c r="C130" s="220" t="str">
        <f ca="1">IF(LEN(A130)=0,"",INDEX('Smelter Look-up'!$C:$C,MATCH($A130,'Smelter Look-up'!$E:$E,0)))</f>
        <v>Jiangxi Xinsheng Tungsten Industry Co., Ltd.</v>
      </c>
      <c r="D130" s="216"/>
      <c r="E130" s="216" t="str">
        <f ca="1">IF(ISERROR($V130),"",OFFSET('Smelter Look-up'!$D$4,$V130-4,0)&amp;"")</f>
        <v>CHINA</v>
      </c>
      <c r="F130" s="216" t="str">
        <f ca="1">IF(ISERROR($V130),"",OFFSET('Smelter Look-up'!$E$4,$V130-4,0))</f>
        <v>CID002317</v>
      </c>
      <c r="G130" s="216" t="str">
        <f ca="1">IF(C130=$X$4,"Enter smelter details", IF(ISERROR($V130),"",OFFSET('Smelter Look-up'!$F$4,$V130-4,0)))</f>
        <v>RMI</v>
      </c>
      <c r="H130" s="217">
        <f ca="1">IF(ISERROR($V130),"",OFFSET('Smelter Look-up'!$G$4,$V130-4,0))</f>
        <v>0</v>
      </c>
      <c r="I130" s="218" t="str">
        <f ca="1">IF(ISERROR($V130),"",OFFSET('Smelter Look-up'!$H$4,$V130-4,0))</f>
        <v>Ganzhou</v>
      </c>
      <c r="J130" s="218" t="str">
        <f ca="1">IF(ISERROR($V130),"",OFFSET('Smelter Look-up'!$I$4,$V130-4,0))</f>
        <v>Jiangxi Sheng</v>
      </c>
      <c r="K130" s="267"/>
      <c r="L130" s="267"/>
      <c r="M130" s="267"/>
      <c r="N130" s="267"/>
      <c r="O130" s="267"/>
      <c r="P130" s="219"/>
      <c r="Q130" s="268"/>
      <c r="R130" s="216" t="str">
        <f ca="1">IF(ISERROR($V130),"",OFFSET('Smelter Look-up'!$C$4,$V130-4,0)&amp;"")</f>
        <v>Jiangxi Xinsheng Tungsten Industry Co., Ltd.</v>
      </c>
      <c r="S130" s="224" t="str">
        <f t="shared" ca="1" si="3"/>
        <v>CN</v>
      </c>
      <c r="T130" s="224" t="str">
        <f ca="1">IF(B130="","",IF(ISERROR(MATCH($J130,SorP!$B$1:$B$6230,0)),"",INDIRECT("'SorP'!$A$"&amp;MATCH($J130,SorP!$B$1:$B$6230,0))))</f>
        <v>CN-JX</v>
      </c>
      <c r="U130" s="239"/>
      <c r="V130" s="269">
        <f ca="1">IF(C130="",NA(),MATCH($B130&amp;$C130,'Smelter Look-up'!$J:$J,0))</f>
        <v>558</v>
      </c>
      <c r="W130" s="270"/>
      <c r="X130" s="270">
        <f t="shared" ca="1" si="4"/>
        <v>0</v>
      </c>
      <c r="Y130" s="270"/>
      <c r="Z130" s="270"/>
      <c r="AB130" s="272" t="str">
        <f t="shared" ca="1" si="5"/>
        <v>TungstenJiangxi Xinsheng Tungsten Industry Co., Ltd.</v>
      </c>
    </row>
    <row r="131" spans="1:28" s="271" customFormat="1" ht="127.5">
      <c r="A131" s="215" t="s">
        <v>153</v>
      </c>
      <c r="B131" s="216" t="str">
        <f ca="1">IF(LEN(A131)=0,"",INDEX('Smelter Look-up'!$A:$A,MATCH($A131,'Smelter Look-up'!$E:$E,0)))</f>
        <v>Tungsten</v>
      </c>
      <c r="C131" s="220" t="str">
        <f ca="1">IF(LEN(A131)=0,"",INDEX('Smelter Look-up'!$C:$C,MATCH($A131,'Smelter Look-up'!$E:$E,0)))</f>
        <v>Jiangxi Tonggu Non-ferrous Metallurgical &amp; Chemical Co., Ltd.</v>
      </c>
      <c r="D131" s="216"/>
      <c r="E131" s="216" t="str">
        <f ca="1">IF(ISERROR($V131),"",OFFSET('Smelter Look-up'!$D$4,$V131-4,0)&amp;"")</f>
        <v>CHINA</v>
      </c>
      <c r="F131" s="216" t="str">
        <f ca="1">IF(ISERROR($V131),"",OFFSET('Smelter Look-up'!$E$4,$V131-4,0))</f>
        <v>CID002318</v>
      </c>
      <c r="G131" s="216" t="str">
        <f ca="1">IF(C131=$X$4,"Enter smelter details", IF(ISERROR($V131),"",OFFSET('Smelter Look-up'!$F$4,$V131-4,0)))</f>
        <v>RMI</v>
      </c>
      <c r="H131" s="217">
        <f ca="1">IF(ISERROR($V131),"",OFFSET('Smelter Look-up'!$G$4,$V131-4,0))</f>
        <v>0</v>
      </c>
      <c r="I131" s="218" t="str">
        <f ca="1">IF(ISERROR($V131),"",OFFSET('Smelter Look-up'!$H$4,$V131-4,0))</f>
        <v>Tonggu</v>
      </c>
      <c r="J131" s="218" t="str">
        <f ca="1">IF(ISERROR($V131),"",OFFSET('Smelter Look-up'!$I$4,$V131-4,0))</f>
        <v>Jiangxi Sheng</v>
      </c>
      <c r="K131" s="267"/>
      <c r="L131" s="267"/>
      <c r="M131" s="267"/>
      <c r="N131" s="267"/>
      <c r="O131" s="267"/>
      <c r="P131" s="219"/>
      <c r="Q131" s="268"/>
      <c r="R131" s="216" t="str">
        <f ca="1">IF(ISERROR($V131),"",OFFSET('Smelter Look-up'!$C$4,$V131-4,0)&amp;"")</f>
        <v>Jiangxi Tonggu Non-ferrous Metallurgical &amp; Chemical Co., Ltd.</v>
      </c>
      <c r="S131" s="224" t="str">
        <f t="shared" ca="1" si="3"/>
        <v>CN</v>
      </c>
      <c r="T131" s="224" t="str">
        <f ca="1">IF(B131="","",IF(ISERROR(MATCH($J131,SorP!$B$1:$B$6230,0)),"",INDIRECT("'SorP'!$A$"&amp;MATCH($J131,SorP!$B$1:$B$6230,0))))</f>
        <v>CN-JX</v>
      </c>
      <c r="U131" s="239"/>
      <c r="V131" s="269">
        <f ca="1">IF(C131="",NA(),MATCH($B131&amp;$C131,'Smelter Look-up'!$J:$J,0))</f>
        <v>555</v>
      </c>
      <c r="W131" s="270"/>
      <c r="X131" s="270">
        <f t="shared" ca="1" si="4"/>
        <v>0</v>
      </c>
      <c r="Y131" s="270"/>
      <c r="Z131" s="270"/>
      <c r="AB131" s="272" t="str">
        <f t="shared" ca="1" si="5"/>
        <v>TungstenJiangxi Tonggu Non-ferrous Metallurgical &amp; Chemical Co., Ltd.</v>
      </c>
    </row>
    <row r="132" spans="1:28" s="271" customFormat="1" ht="76.5">
      <c r="A132" s="215" t="s">
        <v>155</v>
      </c>
      <c r="B132" s="216" t="str">
        <f ca="1">IF(LEN(A132)=0,"",INDEX('Smelter Look-up'!$A:$A,MATCH($A132,'Smelter Look-up'!$E:$E,0)))</f>
        <v>Tungsten</v>
      </c>
      <c r="C132" s="220" t="str">
        <f ca="1">IF(LEN(A132)=0,"",INDEX('Smelter Look-up'!$C:$C,MATCH($A132,'Smelter Look-up'!$E:$E,0)))</f>
        <v>Xiamen Tungsten (H.C.) Co., Ltd.</v>
      </c>
      <c r="D132" s="216"/>
      <c r="E132" s="216" t="str">
        <f ca="1">IF(ISERROR($V132),"",OFFSET('Smelter Look-up'!$D$4,$V132-4,0)&amp;"")</f>
        <v>CHINA</v>
      </c>
      <c r="F132" s="216" t="str">
        <f ca="1">IF(ISERROR($V132),"",OFFSET('Smelter Look-up'!$E$4,$V132-4,0))</f>
        <v>CID002320</v>
      </c>
      <c r="G132" s="216" t="str">
        <f ca="1">IF(C132=$X$4,"Enter smelter details", IF(ISERROR($V132),"",OFFSET('Smelter Look-up'!$F$4,$V132-4,0)))</f>
        <v>RMI</v>
      </c>
      <c r="H132" s="217">
        <f ca="1">IF(ISERROR($V132),"",OFFSET('Smelter Look-up'!$G$4,$V132-4,0))</f>
        <v>0</v>
      </c>
      <c r="I132" s="218" t="str">
        <f ca="1">IF(ISERROR($V132),"",OFFSET('Smelter Look-up'!$H$4,$V132-4,0))</f>
        <v>Xiamen</v>
      </c>
      <c r="J132" s="218" t="str">
        <f ca="1">IF(ISERROR($V132),"",OFFSET('Smelter Look-up'!$I$4,$V132-4,0))</f>
        <v>Fujian Sheng</v>
      </c>
      <c r="K132" s="267"/>
      <c r="L132" s="267"/>
      <c r="M132" s="267"/>
      <c r="N132" s="267"/>
      <c r="O132" s="267"/>
      <c r="P132" s="219"/>
      <c r="Q132" s="268"/>
      <c r="R132" s="216" t="str">
        <f ca="1">IF(ISERROR($V132),"",OFFSET('Smelter Look-up'!$C$4,$V132-4,0)&amp;"")</f>
        <v>Xiamen Tungsten (H.C.) Co., Ltd.</v>
      </c>
      <c r="S132" s="224" t="str">
        <f t="shared" ca="1" si="3"/>
        <v>CN</v>
      </c>
      <c r="T132" s="224" t="str">
        <f ca="1">IF(B132="","",IF(ISERROR(MATCH($J132,SorP!$B$1:$B$6230,0)),"",INDIRECT("'SorP'!$A$"&amp;MATCH($J132,SorP!$B$1:$B$6230,0))))</f>
        <v>CN-FJ</v>
      </c>
      <c r="U132" s="239"/>
      <c r="V132" s="269">
        <f ca="1">IF(C132="",NA(),MATCH($B132&amp;$C132,'Smelter Look-up'!$J:$J,0))</f>
        <v>581</v>
      </c>
      <c r="W132" s="270"/>
      <c r="X132" s="270">
        <f t="shared" ca="1" si="4"/>
        <v>0</v>
      </c>
      <c r="Y132" s="270"/>
      <c r="Z132" s="270"/>
      <c r="AB132" s="272" t="str">
        <f t="shared" ca="1" si="5"/>
        <v>TungstenXiamen Tungsten (H.C.) Co., Ltd.</v>
      </c>
    </row>
    <row r="133" spans="1:28" s="271" customFormat="1" ht="76.5">
      <c r="A133" s="215" t="s">
        <v>148</v>
      </c>
      <c r="B133" s="216" t="str">
        <f ca="1">IF(LEN(A133)=0,"",INDEX('Smelter Look-up'!$A:$A,MATCH($A133,'Smelter Look-up'!$E:$E,0)))</f>
        <v>Tungsten</v>
      </c>
      <c r="C133" s="220" t="str">
        <f ca="1">IF(LEN(A133)=0,"",INDEX('Smelter Look-up'!$C:$C,MATCH($A133,'Smelter Look-up'!$E:$E,0)))</f>
        <v>Jiangxi Gan Bei Tungsten Co., Ltd.</v>
      </c>
      <c r="D133" s="216"/>
      <c r="E133" s="216" t="str">
        <f ca="1">IF(ISERROR($V133),"",OFFSET('Smelter Look-up'!$D$4,$V133-4,0)&amp;"")</f>
        <v>CHINA</v>
      </c>
      <c r="F133" s="216" t="str">
        <f ca="1">IF(ISERROR($V133),"",OFFSET('Smelter Look-up'!$E$4,$V133-4,0))</f>
        <v>CID002321</v>
      </c>
      <c r="G133" s="216" t="str">
        <f ca="1">IF(C133=$X$4,"Enter smelter details", IF(ISERROR($V133),"",OFFSET('Smelter Look-up'!$F$4,$V133-4,0)))</f>
        <v>RMI</v>
      </c>
      <c r="H133" s="217">
        <f ca="1">IF(ISERROR($V133),"",OFFSET('Smelter Look-up'!$G$4,$V133-4,0))</f>
        <v>0</v>
      </c>
      <c r="I133" s="218" t="str">
        <f ca="1">IF(ISERROR($V133),"",OFFSET('Smelter Look-up'!$H$4,$V133-4,0))</f>
        <v>Xiushui</v>
      </c>
      <c r="J133" s="218" t="str">
        <f ca="1">IF(ISERROR($V133),"",OFFSET('Smelter Look-up'!$I$4,$V133-4,0))</f>
        <v>Jiangxi Sheng</v>
      </c>
      <c r="K133" s="267"/>
      <c r="L133" s="267"/>
      <c r="M133" s="267"/>
      <c r="N133" s="267"/>
      <c r="O133" s="267"/>
      <c r="P133" s="219"/>
      <c r="Q133" s="268"/>
      <c r="R133" s="216" t="str">
        <f ca="1">IF(ISERROR($V133),"",OFFSET('Smelter Look-up'!$C$4,$V133-4,0)&amp;"")</f>
        <v>Jiangxi Gan Bei Tungsten Co., Ltd.</v>
      </c>
      <c r="S133" s="224" t="str">
        <f t="shared" ref="S133:S196" ca="1" si="6">IF(B133="","",IF(ISERROR(MATCH($E133,CL,0)),"Unknown",INDIRECT("'C'!$A$"&amp;MATCH($E133,CL,0)+1)))</f>
        <v>CN</v>
      </c>
      <c r="T133" s="224" t="str">
        <f ca="1">IF(B133="","",IF(ISERROR(MATCH($J133,SorP!$B$1:$B$6230,0)),"",INDIRECT("'SorP'!$A$"&amp;MATCH($J133,SorP!$B$1:$B$6230,0))))</f>
        <v>CN-JX</v>
      </c>
      <c r="U133" s="239"/>
      <c r="V133" s="269">
        <f ca="1">IF(C133="",NA(),MATCH($B133&amp;$C133,'Smelter Look-up'!$J:$J,0))</f>
        <v>553</v>
      </c>
      <c r="W133" s="270"/>
      <c r="X133" s="270">
        <f t="shared" ref="X133:X196" ca="1" si="7">IF(AND(C133="Smelter not listed",OR(LEN(D133)=0,LEN(E133)=0)),1,0)</f>
        <v>0</v>
      </c>
      <c r="Y133" s="270"/>
      <c r="Z133" s="270"/>
      <c r="AB133" s="272" t="str">
        <f t="shared" ref="AB133:AB196" ca="1" si="8">B133&amp;C133</f>
        <v>TungstenJiangxi Gan Bei Tungsten Co., Ltd.</v>
      </c>
    </row>
    <row r="134" spans="1:28" s="271" customFormat="1" ht="89.25">
      <c r="A134" s="215" t="s">
        <v>456</v>
      </c>
      <c r="B134" s="216" t="str">
        <f ca="1">IF(LEN(A134)=0,"",INDEX('Smelter Look-up'!$A:$A,MATCH($A134,'Smelter Look-up'!$E:$E,0)))</f>
        <v>Tungsten</v>
      </c>
      <c r="C134" s="220" t="str">
        <f ca="1">IF(LEN(A134)=0,"",INDEX('Smelter Look-up'!$C:$C,MATCH($A134,'Smelter Look-up'!$E:$E,0)))</f>
        <v>Ganzhou Seadragon W &amp; Mo Co., Ltd.</v>
      </c>
      <c r="D134" s="216"/>
      <c r="E134" s="216" t="str">
        <f ca="1">IF(ISERROR($V134),"",OFFSET('Smelter Look-up'!$D$4,$V134-4,0)&amp;"")</f>
        <v>CHINA</v>
      </c>
      <c r="F134" s="216" t="str">
        <f ca="1">IF(ISERROR($V134),"",OFFSET('Smelter Look-up'!$E$4,$V134-4,0))</f>
        <v>CID002494</v>
      </c>
      <c r="G134" s="216" t="str">
        <f ca="1">IF(C134=$X$4,"Enter smelter details", IF(ISERROR($V134),"",OFFSET('Smelter Look-up'!$F$4,$V134-4,0)))</f>
        <v>RMI</v>
      </c>
      <c r="H134" s="217">
        <f ca="1">IF(ISERROR($V134),"",OFFSET('Smelter Look-up'!$G$4,$V134-4,0))</f>
        <v>0</v>
      </c>
      <c r="I134" s="218" t="str">
        <f ca="1">IF(ISERROR($V134),"",OFFSET('Smelter Look-up'!$H$4,$V134-4,0))</f>
        <v>Ganzhou</v>
      </c>
      <c r="J134" s="218" t="str">
        <f ca="1">IF(ISERROR($V134),"",OFFSET('Smelter Look-up'!$I$4,$V134-4,0))</f>
        <v>Jiangxi Sheng</v>
      </c>
      <c r="K134" s="267"/>
      <c r="L134" s="267"/>
      <c r="M134" s="267"/>
      <c r="N134" s="267"/>
      <c r="O134" s="267"/>
      <c r="P134" s="219"/>
      <c r="Q134" s="268"/>
      <c r="R134" s="216" t="str">
        <f ca="1">IF(ISERROR($V134),"",OFFSET('Smelter Look-up'!$C$4,$V134-4,0)&amp;"")</f>
        <v>Ganzhou Seadragon W &amp; Mo Co., Ltd.</v>
      </c>
      <c r="S134" s="224" t="str">
        <f t="shared" ca="1" si="6"/>
        <v>CN</v>
      </c>
      <c r="T134" s="224" t="str">
        <f ca="1">IF(B134="","",IF(ISERROR(MATCH($J134,SorP!$B$1:$B$6230,0)),"",INDIRECT("'SorP'!$A$"&amp;MATCH($J134,SorP!$B$1:$B$6230,0))))</f>
        <v>CN-JX</v>
      </c>
      <c r="U134" s="239"/>
      <c r="V134" s="269">
        <f ca="1">IF(C134="",NA(),MATCH($B134&amp;$C134,'Smelter Look-up'!$J:$J,0))</f>
        <v>536</v>
      </c>
      <c r="W134" s="270"/>
      <c r="X134" s="270">
        <f t="shared" ca="1" si="7"/>
        <v>0</v>
      </c>
      <c r="Y134" s="270"/>
      <c r="Z134" s="270"/>
      <c r="AB134" s="272" t="str">
        <f t="shared" ca="1" si="8"/>
        <v>TungstenGanzhou Seadragon W &amp; Mo Co., Ltd.</v>
      </c>
    </row>
    <row r="135" spans="1:28" s="271" customFormat="1" ht="114.75">
      <c r="A135" s="215" t="s">
        <v>1549</v>
      </c>
      <c r="B135" s="216" t="str">
        <f ca="1">IF(LEN(A135)=0,"",INDEX('Smelter Look-up'!$A:$A,MATCH($A135,'Smelter Look-up'!$E:$E,0)))</f>
        <v>Tungsten</v>
      </c>
      <c r="C135" s="220" t="str">
        <f ca="1">IF(LEN(A135)=0,"",INDEX('Smelter Look-up'!$C:$C,MATCH($A135,'Smelter Look-up'!$E:$E,0)))</f>
        <v>Chenzhou Diamond Tungsten Products Co., Ltd.</v>
      </c>
      <c r="D135" s="216"/>
      <c r="E135" s="216" t="str">
        <f ca="1">IF(ISERROR($V135),"",OFFSET('Smelter Look-up'!$D$4,$V135-4,0)&amp;"")</f>
        <v>CHINA</v>
      </c>
      <c r="F135" s="216" t="str">
        <f ca="1">IF(ISERROR($V135),"",OFFSET('Smelter Look-up'!$E$4,$V135-4,0))</f>
        <v>CID002513</v>
      </c>
      <c r="G135" s="216" t="str">
        <f ca="1">IF(C135=$X$4,"Enter smelter details", IF(ISERROR($V135),"",OFFSET('Smelter Look-up'!$F$4,$V135-4,0)))</f>
        <v>RMI</v>
      </c>
      <c r="H135" s="217">
        <f ca="1">IF(ISERROR($V135),"",OFFSET('Smelter Look-up'!$G$4,$V135-4,0))</f>
        <v>0</v>
      </c>
      <c r="I135" s="218" t="str">
        <f ca="1">IF(ISERROR($V135),"",OFFSET('Smelter Look-up'!$H$4,$V135-4,0))</f>
        <v>Chenzhou</v>
      </c>
      <c r="J135" s="218" t="str">
        <f ca="1">IF(ISERROR($V135),"",OFFSET('Smelter Look-up'!$I$4,$V135-4,0))</f>
        <v>Hunan Sheng</v>
      </c>
      <c r="K135" s="267"/>
      <c r="L135" s="267"/>
      <c r="M135" s="267"/>
      <c r="N135" s="267"/>
      <c r="O135" s="267"/>
      <c r="P135" s="219"/>
      <c r="Q135" s="268"/>
      <c r="R135" s="216" t="str">
        <f ca="1">IF(ISERROR($V135),"",OFFSET('Smelter Look-up'!$C$4,$V135-4,0)&amp;"")</f>
        <v>Chenzhou Diamond Tungsten Products Co., Ltd.</v>
      </c>
      <c r="S135" s="224" t="str">
        <f t="shared" ca="1" si="6"/>
        <v>CN</v>
      </c>
      <c r="T135" s="224" t="str">
        <f ca="1">IF(B135="","",IF(ISERROR(MATCH($J135,SorP!$B$1:$B$6230,0)),"",INDIRECT("'SorP'!$A$"&amp;MATCH($J135,SorP!$B$1:$B$6230,0))))</f>
        <v>CN-HN</v>
      </c>
      <c r="U135" s="239"/>
      <c r="V135" s="269">
        <f ca="1">IF(C135="",NA(),MATCH($B135&amp;$C135,'Smelter Look-up'!$J:$J,0))</f>
        <v>525</v>
      </c>
      <c r="W135" s="270"/>
      <c r="X135" s="270">
        <f t="shared" ca="1" si="7"/>
        <v>0</v>
      </c>
      <c r="Y135" s="270"/>
      <c r="Z135" s="270"/>
      <c r="AB135" s="272" t="str">
        <f t="shared" ca="1" si="8"/>
        <v>TungstenChenzhou Diamond Tungsten Products Co., Ltd.</v>
      </c>
    </row>
    <row r="136" spans="1:28" s="271" customFormat="1" ht="63.75">
      <c r="A136" s="215" t="s">
        <v>1571</v>
      </c>
      <c r="B136" s="216" t="str">
        <f ca="1">IF(LEN(A136)=0,"",INDEX('Smelter Look-up'!$A:$A,MATCH($A136,'Smelter Look-up'!$E:$E,0)))</f>
        <v>Tungsten</v>
      </c>
      <c r="C136" s="220" t="str">
        <f ca="1">IF(LEN(A136)=0,"",INDEX('Smelter Look-up'!$C:$C,MATCH($A136,'Smelter Look-up'!$E:$E,0)))</f>
        <v>H.C. Starck Tungsten GmbH</v>
      </c>
      <c r="D136" s="216"/>
      <c r="E136" s="216" t="str">
        <f ca="1">IF(ISERROR($V136),"",OFFSET('Smelter Look-up'!$D$4,$V136-4,0)&amp;"")</f>
        <v>GERMANY</v>
      </c>
      <c r="F136" s="216" t="str">
        <f ca="1">IF(ISERROR($V136),"",OFFSET('Smelter Look-up'!$E$4,$V136-4,0))</f>
        <v>CID002541</v>
      </c>
      <c r="G136" s="216" t="str">
        <f ca="1">IF(C136=$X$4,"Enter smelter details", IF(ISERROR($V136),"",OFFSET('Smelter Look-up'!$F$4,$V136-4,0)))</f>
        <v>RMI</v>
      </c>
      <c r="H136" s="217">
        <f ca="1">IF(ISERROR($V136),"",OFFSET('Smelter Look-up'!$G$4,$V136-4,0))</f>
        <v>0</v>
      </c>
      <c r="I136" s="218" t="str">
        <f ca="1">IF(ISERROR($V136),"",OFFSET('Smelter Look-up'!$H$4,$V136-4,0))</f>
        <v>Goslar</v>
      </c>
      <c r="J136" s="218" t="str">
        <f ca="1">IF(ISERROR($V136),"",OFFSET('Smelter Look-up'!$I$4,$V136-4,0))</f>
        <v>Niedersachsen</v>
      </c>
      <c r="K136" s="267"/>
      <c r="L136" s="267"/>
      <c r="M136" s="267"/>
      <c r="N136" s="267"/>
      <c r="O136" s="267"/>
      <c r="P136" s="219"/>
      <c r="Q136" s="268"/>
      <c r="R136" s="216" t="str">
        <f ca="1">IF(ISERROR($V136),"",OFFSET('Smelter Look-up'!$C$4,$V136-4,0)&amp;"")</f>
        <v>H.C. Starck Tungsten GmbH</v>
      </c>
      <c r="S136" s="224" t="str">
        <f t="shared" ca="1" si="6"/>
        <v>DE</v>
      </c>
      <c r="T136" s="224" t="str">
        <f ca="1">IF(B136="","",IF(ISERROR(MATCH($J136,SorP!$B$1:$B$6230,0)),"",INDIRECT("'SorP'!$A$"&amp;MATCH($J136,SorP!$B$1:$B$6230,0))))</f>
        <v>DE-NI</v>
      </c>
      <c r="U136" s="239"/>
      <c r="V136" s="269">
        <f ca="1">IF(C136="",NA(),MATCH($B136&amp;$C136,'Smelter Look-up'!$J:$J,0))</f>
        <v>541</v>
      </c>
      <c r="W136" s="270"/>
      <c r="X136" s="270">
        <f t="shared" ca="1" si="7"/>
        <v>0</v>
      </c>
      <c r="Y136" s="270"/>
      <c r="Z136" s="270"/>
      <c r="AB136" s="272" t="str">
        <f t="shared" ca="1" si="8"/>
        <v>TungstenH.C. Starck Tungsten GmbH</v>
      </c>
    </row>
    <row r="137" spans="1:28" s="271" customFormat="1" ht="76.5">
      <c r="A137" s="215" t="s">
        <v>1572</v>
      </c>
      <c r="B137" s="216" t="str">
        <f ca="1">IF(LEN(A137)=0,"",INDEX('Smelter Look-up'!$A:$A,MATCH($A137,'Smelter Look-up'!$E:$E,0)))</f>
        <v>Tungsten</v>
      </c>
      <c r="C137" s="220" t="str">
        <f ca="1">IF(LEN(A137)=0,"",INDEX('Smelter Look-up'!$C:$C,MATCH($A137,'Smelter Look-up'!$E:$E,0)))</f>
        <v>H.C. Starck Smelting GmbH &amp; Co. KG</v>
      </c>
      <c r="D137" s="216"/>
      <c r="E137" s="216" t="str">
        <f ca="1">IF(ISERROR($V137),"",OFFSET('Smelter Look-up'!$D$4,$V137-4,0)&amp;"")</f>
        <v>GERMANY</v>
      </c>
      <c r="F137" s="216" t="str">
        <f ca="1">IF(ISERROR($V137),"",OFFSET('Smelter Look-up'!$E$4,$V137-4,0))</f>
        <v>CID002542</v>
      </c>
      <c r="G137" s="216" t="str">
        <f ca="1">IF(C137=$X$4,"Enter smelter details", IF(ISERROR($V137),"",OFFSET('Smelter Look-up'!$F$4,$V137-4,0)))</f>
        <v>RMI</v>
      </c>
      <c r="H137" s="217">
        <f ca="1">IF(ISERROR($V137),"",OFFSET('Smelter Look-up'!$G$4,$V137-4,0))</f>
        <v>0</v>
      </c>
      <c r="I137" s="218" t="str">
        <f ca="1">IF(ISERROR($V137),"",OFFSET('Smelter Look-up'!$H$4,$V137-4,0))</f>
        <v>Laufenburg</v>
      </c>
      <c r="J137" s="218" t="str">
        <f ca="1">IF(ISERROR($V137),"",OFFSET('Smelter Look-up'!$I$4,$V137-4,0))</f>
        <v>Baden-Württemberg</v>
      </c>
      <c r="K137" s="267"/>
      <c r="L137" s="267"/>
      <c r="M137" s="267"/>
      <c r="N137" s="267"/>
      <c r="O137" s="267"/>
      <c r="P137" s="219"/>
      <c r="Q137" s="268"/>
      <c r="R137" s="216" t="str">
        <f ca="1">IF(ISERROR($V137),"",OFFSET('Smelter Look-up'!$C$4,$V137-4,0)&amp;"")</f>
        <v>H.C. Starck Smelting GmbH &amp; Co. KG</v>
      </c>
      <c r="S137" s="224" t="str">
        <f t="shared" ca="1" si="6"/>
        <v>DE</v>
      </c>
      <c r="T137" s="224" t="str">
        <f ca="1">IF(B137="","",IF(ISERROR(MATCH($J137,SorP!$B$1:$B$6230,0)),"",INDIRECT("'SorP'!$A$"&amp;MATCH($J137,SorP!$B$1:$B$6230,0))))</f>
        <v>DE-BW</v>
      </c>
      <c r="U137" s="239"/>
      <c r="V137" s="269">
        <f ca="1">IF(C137="",NA(),MATCH($B137&amp;$C137,'Smelter Look-up'!$J:$J,0))</f>
        <v>540</v>
      </c>
      <c r="W137" s="270"/>
      <c r="X137" s="270">
        <f t="shared" ca="1" si="7"/>
        <v>0</v>
      </c>
      <c r="Y137" s="270"/>
      <c r="Z137" s="270"/>
      <c r="AB137" s="272" t="str">
        <f t="shared" ca="1" si="8"/>
        <v>TungstenH.C. Starck Smelting GmbH &amp; Co. KG</v>
      </c>
    </row>
    <row r="138" spans="1:28" s="271" customFormat="1" ht="89.25">
      <c r="A138" s="215" t="s">
        <v>1575</v>
      </c>
      <c r="B138" s="216" t="str">
        <f ca="1">IF(LEN(A138)=0,"",INDEX('Smelter Look-up'!$A:$A,MATCH($A138,'Smelter Look-up'!$E:$E,0)))</f>
        <v>Tungsten</v>
      </c>
      <c r="C138" s="220" t="str">
        <f ca="1">IF(LEN(A138)=0,"",INDEX('Smelter Look-up'!$C:$C,MATCH($A138,'Smelter Look-up'!$E:$E,0)))</f>
        <v>Masan Tungsten Chemical LLC (MTC)</v>
      </c>
      <c r="D138" s="216"/>
      <c r="E138" s="216" t="str">
        <f ca="1">IF(ISERROR($V138),"",OFFSET('Smelter Look-up'!$D$4,$V138-4,0)&amp;"")</f>
        <v>VIET NAM</v>
      </c>
      <c r="F138" s="216" t="str">
        <f ca="1">IF(ISERROR($V138),"",OFFSET('Smelter Look-up'!$E$4,$V138-4,0))</f>
        <v>CID002543</v>
      </c>
      <c r="G138" s="216" t="str">
        <f ca="1">IF(C138=$X$4,"Enter smelter details", IF(ISERROR($V138),"",OFFSET('Smelter Look-up'!$F$4,$V138-4,0)))</f>
        <v>RMI</v>
      </c>
      <c r="H138" s="217">
        <f ca="1">IF(ISERROR($V138),"",OFFSET('Smelter Look-up'!$G$4,$V138-4,0))</f>
        <v>0</v>
      </c>
      <c r="I138" s="218" t="str">
        <f ca="1">IF(ISERROR($V138),"",OFFSET('Smelter Look-up'!$H$4,$V138-4,0))</f>
        <v>Dai Tu</v>
      </c>
      <c r="J138" s="218" t="str">
        <f ca="1">IF(ISERROR($V138),"",OFFSET('Smelter Look-up'!$I$4,$V138-4,0))</f>
        <v>Thái Nguyên</v>
      </c>
      <c r="K138" s="267"/>
      <c r="L138" s="267"/>
      <c r="M138" s="267"/>
      <c r="N138" s="267"/>
      <c r="O138" s="267"/>
      <c r="P138" s="219"/>
      <c r="Q138" s="268"/>
      <c r="R138" s="216" t="str">
        <f ca="1">IF(ISERROR($V138),"",OFFSET('Smelter Look-up'!$C$4,$V138-4,0)&amp;"")</f>
        <v>Masan Tungsten Chemical LLC (MTC)</v>
      </c>
      <c r="S138" s="224" t="str">
        <f t="shared" ca="1" si="6"/>
        <v>VN</v>
      </c>
      <c r="T138" s="224" t="str">
        <f ca="1">IF(B138="","",IF(ISERROR(MATCH($J138,SorP!$B$1:$B$6230,0)),"",INDIRECT("'SorP'!$A$"&amp;MATCH($J138,SorP!$B$1:$B$6230,0))))</f>
        <v>VN-69</v>
      </c>
      <c r="U138" s="239"/>
      <c r="V138" s="269">
        <f ca="1">IF(C138="",NA(),MATCH($B138&amp;$C138,'Smelter Look-up'!$J:$J,0))</f>
        <v>566</v>
      </c>
      <c r="W138" s="270"/>
      <c r="X138" s="270">
        <f t="shared" ca="1" si="7"/>
        <v>0</v>
      </c>
      <c r="Y138" s="270"/>
      <c r="Z138" s="270"/>
      <c r="AB138" s="272" t="str">
        <f t="shared" ca="1" si="8"/>
        <v>TungstenMasan Tungsten Chemical LLC (MTC)</v>
      </c>
    </row>
    <row r="139" spans="1:28" s="271" customFormat="1" ht="114.75">
      <c r="A139" s="215" t="s">
        <v>1574</v>
      </c>
      <c r="B139" s="216" t="str">
        <f ca="1">IF(LEN(A139)=0,"",INDEX('Smelter Look-up'!$A:$A,MATCH($A139,'Smelter Look-up'!$E:$E,0)))</f>
        <v>Tungsten</v>
      </c>
      <c r="C139" s="220" t="str">
        <f ca="1">IF(LEN(A139)=0,"",INDEX('Smelter Look-up'!$C:$C,MATCH($A139,'Smelter Look-up'!$E:$E,0)))</f>
        <v>Jiangwu H.C. Starck Tungsten Products Co., Ltd.</v>
      </c>
      <c r="D139" s="216"/>
      <c r="E139" s="216" t="str">
        <f ca="1">IF(ISERROR($V139),"",OFFSET('Smelter Look-up'!$D$4,$V139-4,0)&amp;"")</f>
        <v>CHINA</v>
      </c>
      <c r="F139" s="216" t="str">
        <f ca="1">IF(ISERROR($V139),"",OFFSET('Smelter Look-up'!$E$4,$V139-4,0))</f>
        <v>CID002551</v>
      </c>
      <c r="G139" s="216" t="str">
        <f ca="1">IF(C139=$X$4,"Enter smelter details", IF(ISERROR($V139),"",OFFSET('Smelter Look-up'!$F$4,$V139-4,0)))</f>
        <v>RMI</v>
      </c>
      <c r="H139" s="217">
        <f ca="1">IF(ISERROR($V139),"",OFFSET('Smelter Look-up'!$G$4,$V139-4,0))</f>
        <v>0</v>
      </c>
      <c r="I139" s="218" t="str">
        <f ca="1">IF(ISERROR($V139),"",OFFSET('Smelter Look-up'!$H$4,$V139-4,0))</f>
        <v>Ganzhou</v>
      </c>
      <c r="J139" s="218" t="str">
        <f ca="1">IF(ISERROR($V139),"",OFFSET('Smelter Look-up'!$I$4,$V139-4,0))</f>
        <v>Jiangxi Sheng</v>
      </c>
      <c r="K139" s="267"/>
      <c r="L139" s="267"/>
      <c r="M139" s="267"/>
      <c r="N139" s="267"/>
      <c r="O139" s="267"/>
      <c r="P139" s="219"/>
      <c r="Q139" s="268"/>
      <c r="R139" s="216" t="str">
        <f ca="1">IF(ISERROR($V139),"",OFFSET('Smelter Look-up'!$C$4,$V139-4,0)&amp;"")</f>
        <v>Jiangwu H.C. Starck Tungsten Products Co., Ltd.</v>
      </c>
      <c r="S139" s="224" t="str">
        <f t="shared" ca="1" si="6"/>
        <v>CN</v>
      </c>
      <c r="T139" s="224" t="str">
        <f ca="1">IF(B139="","",IF(ISERROR(MATCH($J139,SorP!$B$1:$B$6230,0)),"",INDIRECT("'SorP'!$A$"&amp;MATCH($J139,SorP!$B$1:$B$6230,0))))</f>
        <v>CN-JX</v>
      </c>
      <c r="U139" s="239"/>
      <c r="V139" s="269">
        <f ca="1">IF(C139="",NA(),MATCH($B139&amp;$C139,'Smelter Look-up'!$J:$J,0))</f>
        <v>551</v>
      </c>
      <c r="W139" s="270"/>
      <c r="X139" s="270">
        <f t="shared" ca="1" si="7"/>
        <v>0</v>
      </c>
      <c r="Y139" s="270"/>
      <c r="Z139" s="270"/>
      <c r="AB139" s="272" t="str">
        <f t="shared" ca="1" si="8"/>
        <v>TungstenJiangwu H.C. Starck Tungsten Products Co., Ltd.</v>
      </c>
    </row>
    <row r="140" spans="1:28" s="271" customFormat="1" ht="63.75">
      <c r="A140" s="215" t="s">
        <v>2106</v>
      </c>
      <c r="B140" s="216" t="str">
        <f ca="1">IF(LEN(A140)=0,"",INDEX('Smelter Look-up'!$A:$A,MATCH($A140,'Smelter Look-up'!$E:$E,0)))</f>
        <v>Tungsten</v>
      </c>
      <c r="C140" s="220" t="str">
        <f ca="1">IF(LEN(A140)=0,"",INDEX('Smelter Look-up'!$C:$C,MATCH($A140,'Smelter Look-up'!$E:$E,0)))</f>
        <v>Niagara Refining LLC</v>
      </c>
      <c r="D140" s="216"/>
      <c r="E140" s="216" t="str">
        <f ca="1">IF(ISERROR($V140),"",OFFSET('Smelter Look-up'!$D$4,$V140-4,0)&amp;"")</f>
        <v>UNITED STATES OF AMERICA</v>
      </c>
      <c r="F140" s="216" t="str">
        <f ca="1">IF(ISERROR($V140),"",OFFSET('Smelter Look-up'!$E$4,$V140-4,0))</f>
        <v>CID002589</v>
      </c>
      <c r="G140" s="216" t="str">
        <f ca="1">IF(C140=$X$4,"Enter smelter details", IF(ISERROR($V140),"",OFFSET('Smelter Look-up'!$F$4,$V140-4,0)))</f>
        <v>RMI</v>
      </c>
      <c r="H140" s="217">
        <f ca="1">IF(ISERROR($V140),"",OFFSET('Smelter Look-up'!$G$4,$V140-4,0))</f>
        <v>0</v>
      </c>
      <c r="I140" s="218" t="str">
        <f ca="1">IF(ISERROR($V140),"",OFFSET('Smelter Look-up'!$H$4,$V140-4,0))</f>
        <v>Depew</v>
      </c>
      <c r="J140" s="218" t="str">
        <f ca="1">IF(ISERROR($V140),"",OFFSET('Smelter Look-up'!$I$4,$V140-4,0))</f>
        <v>New York</v>
      </c>
      <c r="K140" s="267"/>
      <c r="L140" s="267"/>
      <c r="M140" s="267"/>
      <c r="N140" s="267"/>
      <c r="O140" s="267"/>
      <c r="P140" s="219"/>
      <c r="Q140" s="268"/>
      <c r="R140" s="216" t="str">
        <f ca="1">IF(ISERROR($V140),"",OFFSET('Smelter Look-up'!$C$4,$V140-4,0)&amp;"")</f>
        <v>Niagara Refining LLC</v>
      </c>
      <c r="S140" s="224" t="str">
        <f t="shared" ca="1" si="6"/>
        <v>US</v>
      </c>
      <c r="T140" s="224" t="str">
        <f ca="1">IF(B140="","",IF(ISERROR(MATCH($J140,SorP!$B$1:$B$6230,0)),"",INDIRECT("'SorP'!$A$"&amp;MATCH($J140,SorP!$B$1:$B$6230,0))))</f>
        <v>US-NY</v>
      </c>
      <c r="U140" s="239"/>
      <c r="V140" s="269">
        <f ca="1">IF(C140="",NA(),MATCH($B140&amp;$C140,'Smelter Look-up'!$J:$J,0))</f>
        <v>568</v>
      </c>
      <c r="W140" s="270"/>
      <c r="X140" s="270">
        <f t="shared" ca="1" si="7"/>
        <v>0</v>
      </c>
      <c r="Y140" s="270"/>
      <c r="Z140" s="270"/>
      <c r="AB140" s="272" t="str">
        <f t="shared" ca="1" si="8"/>
        <v>TungstenNiagara Refining LLC</v>
      </c>
    </row>
    <row r="141" spans="1:28" s="271" customFormat="1" ht="51">
      <c r="A141" s="215" t="s">
        <v>2109</v>
      </c>
      <c r="B141" s="216" t="str">
        <f ca="1">IF(LEN(A141)=0,"",INDEX('Smelter Look-up'!$A:$A,MATCH($A141,'Smelter Look-up'!$E:$E,0)))</f>
        <v>Tungsten</v>
      </c>
      <c r="C141" s="220" t="str">
        <f ca="1">IF(LEN(A141)=0,"",INDEX('Smelter Look-up'!$C:$C,MATCH($A141,'Smelter Look-up'!$E:$E,0)))</f>
        <v>Hydrometallurg, JSC</v>
      </c>
      <c r="D141" s="216"/>
      <c r="E141" s="216" t="str">
        <f ca="1">IF(ISERROR($V141),"",OFFSET('Smelter Look-up'!$D$4,$V141-4,0)&amp;"")</f>
        <v>RUSSIAN FEDERATION</v>
      </c>
      <c r="F141" s="216" t="str">
        <f ca="1">IF(ISERROR($V141),"",OFFSET('Smelter Look-up'!$E$4,$V141-4,0))</f>
        <v>CID002649</v>
      </c>
      <c r="G141" s="216" t="str">
        <f ca="1">IF(C141=$X$4,"Enter smelter details", IF(ISERROR($V141),"",OFFSET('Smelter Look-up'!$F$4,$V141-4,0)))</f>
        <v>RMI</v>
      </c>
      <c r="H141" s="217">
        <f ca="1">IF(ISERROR($V141),"",OFFSET('Smelter Look-up'!$G$4,$V141-4,0))</f>
        <v>0</v>
      </c>
      <c r="I141" s="218" t="str">
        <f ca="1">IF(ISERROR($V141),"",OFFSET('Smelter Look-up'!$H$4,$V141-4,0))</f>
        <v>Nalchik</v>
      </c>
      <c r="J141" s="218" t="str">
        <f ca="1">IF(ISERROR($V141),"",OFFSET('Smelter Look-up'!$I$4,$V141-4,0))</f>
        <v>Kabardino-Balkarskaya Respublika</v>
      </c>
      <c r="K141" s="267"/>
      <c r="L141" s="267"/>
      <c r="M141" s="267"/>
      <c r="N141" s="267"/>
      <c r="O141" s="267"/>
      <c r="P141" s="219"/>
      <c r="Q141" s="268"/>
      <c r="R141" s="216" t="str">
        <f ca="1">IF(ISERROR($V141),"",OFFSET('Smelter Look-up'!$C$4,$V141-4,0)&amp;"")</f>
        <v>Hydrometallurg, JSC</v>
      </c>
      <c r="S141" s="224" t="str">
        <f t="shared" ca="1" si="6"/>
        <v>RU</v>
      </c>
      <c r="T141" s="224" t="str">
        <f ca="1">IF(B141="","",IF(ISERROR(MATCH($J141,SorP!$B$1:$B$6230,0)),"",INDIRECT("'SorP'!$A$"&amp;MATCH($J141,SorP!$B$1:$B$6230,0))))</f>
        <v>RU-KB</v>
      </c>
      <c r="U141" s="239"/>
      <c r="V141" s="269">
        <f ca="1">IF(C141="",NA(),MATCH($B141&amp;$C141,'Smelter Look-up'!$J:$J,0))</f>
        <v>549</v>
      </c>
      <c r="W141" s="270"/>
      <c r="X141" s="270">
        <f t="shared" ca="1" si="7"/>
        <v>0</v>
      </c>
      <c r="Y141" s="270"/>
      <c r="Z141" s="270"/>
      <c r="AB141" s="272" t="str">
        <f t="shared" ca="1" si="8"/>
        <v>TungstenHydrometallurg, JSC</v>
      </c>
    </row>
    <row r="142" spans="1:28" s="271" customFormat="1" ht="20.25">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6"/>
        <v/>
      </c>
      <c r="T142" s="224" t="str">
        <f ca="1">IF(B142="","",IF(ISERROR(MATCH($J142,SorP!$B$1:$B$6230,0)),"",INDIRECT("'SorP'!$A$"&amp;MATCH($J142,SorP!$B$1:$B$6230,0))))</f>
        <v/>
      </c>
      <c r="U142" s="239"/>
      <c r="V142" s="269" t="e">
        <f>IF(C142="",NA(),MATCH($B142&amp;$C142,'Smelter Look-up'!$J:$J,0))</f>
        <v>#N/A</v>
      </c>
      <c r="W142" s="270"/>
      <c r="X142" s="270">
        <f t="shared" ca="1" si="7"/>
        <v>0</v>
      </c>
      <c r="Y142" s="270"/>
      <c r="Z142" s="270"/>
      <c r="AB142" s="272" t="str">
        <f t="shared" si="8"/>
        <v/>
      </c>
    </row>
    <row r="143" spans="1:28" s="271" customFormat="1" ht="20.25">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6"/>
        <v/>
      </c>
      <c r="T143" s="224" t="str">
        <f ca="1">IF(B143="","",IF(ISERROR(MATCH($J143,SorP!$B$1:$B$6230,0)),"",INDIRECT("'SorP'!$A$"&amp;MATCH($J143,SorP!$B$1:$B$6230,0))))</f>
        <v/>
      </c>
      <c r="U143" s="239"/>
      <c r="V143" s="269" t="e">
        <f>IF(C143="",NA(),MATCH($B143&amp;$C143,'Smelter Look-up'!$J:$J,0))</f>
        <v>#N/A</v>
      </c>
      <c r="W143" s="270"/>
      <c r="X143" s="270">
        <f t="shared" ca="1" si="7"/>
        <v>0</v>
      </c>
      <c r="Y143" s="270"/>
      <c r="Z143" s="270"/>
      <c r="AB143" s="272" t="str">
        <f t="shared" si="8"/>
        <v/>
      </c>
    </row>
    <row r="144" spans="1:28" s="271" customFormat="1" ht="20.25">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6"/>
        <v/>
      </c>
      <c r="T144" s="224" t="str">
        <f ca="1">IF(B144="","",IF(ISERROR(MATCH($J144,SorP!$B$1:$B$6230,0)),"",INDIRECT("'SorP'!$A$"&amp;MATCH($J144,SorP!$B$1:$B$6230,0))))</f>
        <v/>
      </c>
      <c r="U144" s="239"/>
      <c r="V144" s="269" t="e">
        <f>IF(C144="",NA(),MATCH($B144&amp;$C144,'Smelter Look-up'!$J:$J,0))</f>
        <v>#N/A</v>
      </c>
      <c r="W144" s="270"/>
      <c r="X144" s="270">
        <f t="shared" ca="1" si="7"/>
        <v>0</v>
      </c>
      <c r="Y144" s="270"/>
      <c r="Z144" s="270"/>
      <c r="AB144" s="272" t="str">
        <f t="shared" si="8"/>
        <v/>
      </c>
    </row>
    <row r="145" spans="1:28" s="271" customFormat="1" ht="20.25">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6"/>
        <v/>
      </c>
      <c r="T145" s="224" t="str">
        <f ca="1">IF(B145="","",IF(ISERROR(MATCH($J145,SorP!$B$1:$B$6230,0)),"",INDIRECT("'SorP'!$A$"&amp;MATCH($J145,SorP!$B$1:$B$6230,0))))</f>
        <v/>
      </c>
      <c r="U145" s="239"/>
      <c r="V145" s="269" t="e">
        <f>IF(C145="",NA(),MATCH($B145&amp;$C145,'Smelter Look-up'!$J:$J,0))</f>
        <v>#N/A</v>
      </c>
      <c r="W145" s="270"/>
      <c r="X145" s="270">
        <f t="shared" ca="1" si="7"/>
        <v>0</v>
      </c>
      <c r="Y145" s="270"/>
      <c r="Z145" s="270"/>
      <c r="AB145" s="272" t="str">
        <f t="shared" si="8"/>
        <v/>
      </c>
    </row>
    <row r="146" spans="1:28" s="271" customFormat="1" ht="20.25">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6"/>
        <v/>
      </c>
      <c r="T146" s="224" t="str">
        <f ca="1">IF(B146="","",IF(ISERROR(MATCH($J146,SorP!$B$1:$B$6230,0)),"",INDIRECT("'SorP'!$A$"&amp;MATCH($J146,SorP!$B$1:$B$6230,0))))</f>
        <v/>
      </c>
      <c r="U146" s="239"/>
      <c r="V146" s="269" t="e">
        <f>IF(C146="",NA(),MATCH($B146&amp;$C146,'Smelter Look-up'!$J:$J,0))</f>
        <v>#N/A</v>
      </c>
      <c r="W146" s="270"/>
      <c r="X146" s="270">
        <f t="shared" ca="1" si="7"/>
        <v>0</v>
      </c>
      <c r="Y146" s="270"/>
      <c r="Z146" s="270"/>
      <c r="AB146" s="272" t="str">
        <f t="shared" si="8"/>
        <v/>
      </c>
    </row>
    <row r="147" spans="1:28" s="271" customFormat="1" ht="20.25">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6"/>
        <v/>
      </c>
      <c r="T147" s="224" t="str">
        <f ca="1">IF(B147="","",IF(ISERROR(MATCH($J147,SorP!$B$1:$B$6230,0)),"",INDIRECT("'SorP'!$A$"&amp;MATCH($J147,SorP!$B$1:$B$6230,0))))</f>
        <v/>
      </c>
      <c r="U147" s="239"/>
      <c r="V147" s="269" t="e">
        <f>IF(C147="",NA(),MATCH($B147&amp;$C147,'Smelter Look-up'!$J:$J,0))</f>
        <v>#N/A</v>
      </c>
      <c r="W147" s="270"/>
      <c r="X147" s="270">
        <f t="shared" ca="1" si="7"/>
        <v>0</v>
      </c>
      <c r="Y147" s="270"/>
      <c r="Z147" s="270"/>
      <c r="AB147" s="272" t="str">
        <f t="shared" si="8"/>
        <v/>
      </c>
    </row>
    <row r="148" spans="1:28" s="271" customFormat="1" ht="20.25">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6"/>
        <v/>
      </c>
      <c r="T148" s="224" t="str">
        <f ca="1">IF(B148="","",IF(ISERROR(MATCH($J148,SorP!$B$1:$B$6230,0)),"",INDIRECT("'SorP'!$A$"&amp;MATCH($J148,SorP!$B$1:$B$6230,0))))</f>
        <v/>
      </c>
      <c r="U148" s="239"/>
      <c r="V148" s="269" t="e">
        <f>IF(C148="",NA(),MATCH($B148&amp;$C148,'Smelter Look-up'!$J:$J,0))</f>
        <v>#N/A</v>
      </c>
      <c r="W148" s="270"/>
      <c r="X148" s="270">
        <f t="shared" ca="1" si="7"/>
        <v>0</v>
      </c>
      <c r="Y148" s="270"/>
      <c r="Z148" s="270"/>
      <c r="AB148" s="272" t="str">
        <f t="shared" si="8"/>
        <v/>
      </c>
    </row>
    <row r="149" spans="1:28" s="271" customFormat="1" ht="20.25">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6"/>
        <v/>
      </c>
      <c r="T149" s="224" t="str">
        <f ca="1">IF(B149="","",IF(ISERROR(MATCH($J149,SorP!$B$1:$B$6230,0)),"",INDIRECT("'SorP'!$A$"&amp;MATCH($J149,SorP!$B$1:$B$6230,0))))</f>
        <v/>
      </c>
      <c r="U149" s="239"/>
      <c r="V149" s="269" t="e">
        <f>IF(C149="",NA(),MATCH($B149&amp;$C149,'Smelter Look-up'!$J:$J,0))</f>
        <v>#N/A</v>
      </c>
      <c r="W149" s="270"/>
      <c r="X149" s="270">
        <f t="shared" ca="1" si="7"/>
        <v>0</v>
      </c>
      <c r="Y149" s="270"/>
      <c r="Z149" s="270"/>
      <c r="AB149" s="272" t="str">
        <f t="shared" si="8"/>
        <v/>
      </c>
    </row>
    <row r="150" spans="1:28" s="271" customFormat="1" ht="20.25">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6"/>
        <v/>
      </c>
      <c r="T150" s="224" t="str">
        <f ca="1">IF(B150="","",IF(ISERROR(MATCH($J150,SorP!$B$1:$B$6230,0)),"",INDIRECT("'SorP'!$A$"&amp;MATCH($J150,SorP!$B$1:$B$6230,0))))</f>
        <v/>
      </c>
      <c r="U150" s="239"/>
      <c r="V150" s="269" t="e">
        <f>IF(C150="",NA(),MATCH($B150&amp;$C150,'Smelter Look-up'!$J:$J,0))</f>
        <v>#N/A</v>
      </c>
      <c r="W150" s="270"/>
      <c r="X150" s="270">
        <f t="shared" ca="1" si="7"/>
        <v>0</v>
      </c>
      <c r="Y150" s="270"/>
      <c r="Z150" s="270"/>
      <c r="AB150" s="272" t="str">
        <f t="shared" si="8"/>
        <v/>
      </c>
    </row>
    <row r="151" spans="1:28" s="271" customFormat="1" ht="20.25">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6"/>
        <v/>
      </c>
      <c r="T151" s="224" t="str">
        <f ca="1">IF(B151="","",IF(ISERROR(MATCH($J151,SorP!$B$1:$B$6230,0)),"",INDIRECT("'SorP'!$A$"&amp;MATCH($J151,SorP!$B$1:$B$6230,0))))</f>
        <v/>
      </c>
      <c r="U151" s="239"/>
      <c r="V151" s="269" t="e">
        <f>IF(C151="",NA(),MATCH($B151&amp;$C151,'Smelter Look-up'!$J:$J,0))</f>
        <v>#N/A</v>
      </c>
      <c r="W151" s="270"/>
      <c r="X151" s="270">
        <f t="shared" ca="1" si="7"/>
        <v>0</v>
      </c>
      <c r="Y151" s="270"/>
      <c r="Z151" s="270"/>
      <c r="AB151" s="272" t="str">
        <f t="shared" si="8"/>
        <v/>
      </c>
    </row>
    <row r="152" spans="1:28" s="271" customFormat="1" ht="20.25">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6"/>
        <v/>
      </c>
      <c r="T152" s="224" t="str">
        <f ca="1">IF(B152="","",IF(ISERROR(MATCH($J152,SorP!$B$1:$B$6230,0)),"",INDIRECT("'SorP'!$A$"&amp;MATCH($J152,SorP!$B$1:$B$6230,0))))</f>
        <v/>
      </c>
      <c r="U152" s="239"/>
      <c r="V152" s="269" t="e">
        <f>IF(C152="",NA(),MATCH($B152&amp;$C152,'Smelter Look-up'!$J:$J,0))</f>
        <v>#N/A</v>
      </c>
      <c r="W152" s="270"/>
      <c r="X152" s="270">
        <f t="shared" ca="1" si="7"/>
        <v>0</v>
      </c>
      <c r="Y152" s="270"/>
      <c r="Z152" s="270"/>
      <c r="AB152" s="272" t="str">
        <f t="shared" si="8"/>
        <v/>
      </c>
    </row>
    <row r="153" spans="1:28" s="271" customFormat="1" ht="20.25">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6"/>
        <v/>
      </c>
      <c r="T153" s="224" t="str">
        <f ca="1">IF(B153="","",IF(ISERROR(MATCH($J153,SorP!$B$1:$B$6230,0)),"",INDIRECT("'SorP'!$A$"&amp;MATCH($J153,SorP!$B$1:$B$6230,0))))</f>
        <v/>
      </c>
      <c r="U153" s="239"/>
      <c r="V153" s="269" t="e">
        <f>IF(C153="",NA(),MATCH($B153&amp;$C153,'Smelter Look-up'!$J:$J,0))</f>
        <v>#N/A</v>
      </c>
      <c r="W153" s="270"/>
      <c r="X153" s="270">
        <f t="shared" ca="1" si="7"/>
        <v>0</v>
      </c>
      <c r="Y153" s="270"/>
      <c r="Z153" s="270"/>
      <c r="AB153" s="272" t="str">
        <f t="shared" si="8"/>
        <v/>
      </c>
    </row>
    <row r="154" spans="1:28" s="271" customFormat="1" ht="20.25">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6"/>
        <v/>
      </c>
      <c r="T154" s="224" t="str">
        <f ca="1">IF(B154="","",IF(ISERROR(MATCH($J154,SorP!$B$1:$B$6230,0)),"",INDIRECT("'SorP'!$A$"&amp;MATCH($J154,SorP!$B$1:$B$6230,0))))</f>
        <v/>
      </c>
      <c r="U154" s="239"/>
      <c r="V154" s="269" t="e">
        <f>IF(C154="",NA(),MATCH($B154&amp;$C154,'Smelter Look-up'!$J:$J,0))</f>
        <v>#N/A</v>
      </c>
      <c r="W154" s="270"/>
      <c r="X154" s="270">
        <f t="shared" ca="1" si="7"/>
        <v>0</v>
      </c>
      <c r="Y154" s="270"/>
      <c r="Z154" s="270"/>
      <c r="AB154" s="272" t="str">
        <f t="shared" si="8"/>
        <v/>
      </c>
    </row>
    <row r="155" spans="1:28" s="271" customFormat="1" ht="20.25">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6"/>
        <v/>
      </c>
      <c r="T155" s="224" t="str">
        <f ca="1">IF(B155="","",IF(ISERROR(MATCH($J155,SorP!$B$1:$B$6230,0)),"",INDIRECT("'SorP'!$A$"&amp;MATCH($J155,SorP!$B$1:$B$6230,0))))</f>
        <v/>
      </c>
      <c r="U155" s="239"/>
      <c r="V155" s="269" t="e">
        <f>IF(C155="",NA(),MATCH($B155&amp;$C155,'Smelter Look-up'!$J:$J,0))</f>
        <v>#N/A</v>
      </c>
      <c r="W155" s="270"/>
      <c r="X155" s="270">
        <f t="shared" ca="1" si="7"/>
        <v>0</v>
      </c>
      <c r="Y155" s="270"/>
      <c r="Z155" s="270"/>
      <c r="AB155" s="272" t="str">
        <f t="shared" si="8"/>
        <v/>
      </c>
    </row>
    <row r="156" spans="1:28" s="271" customFormat="1" ht="20.25">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6"/>
        <v/>
      </c>
      <c r="T156" s="224" t="str">
        <f ca="1">IF(B156="","",IF(ISERROR(MATCH($J156,SorP!$B$1:$B$6230,0)),"",INDIRECT("'SorP'!$A$"&amp;MATCH($J156,SorP!$B$1:$B$6230,0))))</f>
        <v/>
      </c>
      <c r="U156" s="239"/>
      <c r="V156" s="269" t="e">
        <f>IF(C156="",NA(),MATCH($B156&amp;$C156,'Smelter Look-up'!$J:$J,0))</f>
        <v>#N/A</v>
      </c>
      <c r="W156" s="270"/>
      <c r="X156" s="270">
        <f t="shared" ca="1" si="7"/>
        <v>0</v>
      </c>
      <c r="Y156" s="270"/>
      <c r="Z156" s="270"/>
      <c r="AB156" s="272" t="str">
        <f t="shared" si="8"/>
        <v/>
      </c>
    </row>
    <row r="157" spans="1:28" s="271" customFormat="1" ht="20.25">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
      </c>
      <c r="T157" s="224" t="str">
        <f ca="1">IF(B157="","",IF(ISERROR(MATCH($J157,SorP!$B$1:$B$6230,0)),"",INDIRECT("'SorP'!$A$"&amp;MATCH($J157,SorP!$B$1:$B$6230,0))))</f>
        <v/>
      </c>
      <c r="U157" s="239"/>
      <c r="V157" s="269" t="e">
        <f>IF(C157="",NA(),MATCH($B157&amp;$C157,'Smelter Look-up'!$J:$J,0))</f>
        <v>#N/A</v>
      </c>
      <c r="W157" s="270"/>
      <c r="X157" s="270">
        <f t="shared" ca="1" si="7"/>
        <v>0</v>
      </c>
      <c r="Y157" s="270"/>
      <c r="Z157" s="270"/>
      <c r="AB157" s="272" t="str">
        <f t="shared" si="8"/>
        <v/>
      </c>
    </row>
    <row r="158" spans="1:28" s="271" customFormat="1" ht="20.25">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6"/>
        <v/>
      </c>
      <c r="T158" s="224" t="str">
        <f ca="1">IF(B158="","",IF(ISERROR(MATCH($J158,SorP!$B$1:$B$6230,0)),"",INDIRECT("'SorP'!$A$"&amp;MATCH($J158,SorP!$B$1:$B$6230,0))))</f>
        <v/>
      </c>
      <c r="U158" s="239"/>
      <c r="V158" s="269" t="e">
        <f>IF(C158="",NA(),MATCH($B158&amp;$C158,'Smelter Look-up'!$J:$J,0))</f>
        <v>#N/A</v>
      </c>
      <c r="W158" s="270"/>
      <c r="X158" s="270">
        <f t="shared" ca="1" si="7"/>
        <v>0</v>
      </c>
      <c r="Y158" s="270"/>
      <c r="Z158" s="270"/>
      <c r="AB158" s="272" t="str">
        <f t="shared" si="8"/>
        <v/>
      </c>
    </row>
    <row r="159" spans="1:28" s="271" customFormat="1" ht="20.25">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6"/>
        <v/>
      </c>
      <c r="T159" s="224" t="str">
        <f ca="1">IF(B159="","",IF(ISERROR(MATCH($J159,SorP!$B$1:$B$6230,0)),"",INDIRECT("'SorP'!$A$"&amp;MATCH($J159,SorP!$B$1:$B$6230,0))))</f>
        <v/>
      </c>
      <c r="U159" s="239"/>
      <c r="V159" s="269" t="e">
        <f>IF(C159="",NA(),MATCH($B159&amp;$C159,'Smelter Look-up'!$J:$J,0))</f>
        <v>#N/A</v>
      </c>
      <c r="W159" s="270"/>
      <c r="X159" s="270">
        <f t="shared" ca="1" si="7"/>
        <v>0</v>
      </c>
      <c r="Y159" s="270"/>
      <c r="Z159" s="270"/>
      <c r="AB159" s="272" t="str">
        <f t="shared" si="8"/>
        <v/>
      </c>
    </row>
    <row r="160" spans="1:28" s="271" customFormat="1" ht="20.25">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
      </c>
      <c r="T160" s="224" t="str">
        <f ca="1">IF(B160="","",IF(ISERROR(MATCH($J160,SorP!$B$1:$B$6230,0)),"",INDIRECT("'SorP'!$A$"&amp;MATCH($J160,SorP!$B$1:$B$6230,0))))</f>
        <v/>
      </c>
      <c r="U160" s="239"/>
      <c r="V160" s="269" t="e">
        <f>IF(C160="",NA(),MATCH($B160&amp;$C160,'Smelter Look-up'!$J:$J,0))</f>
        <v>#N/A</v>
      </c>
      <c r="W160" s="270"/>
      <c r="X160" s="270">
        <f t="shared" ca="1" si="7"/>
        <v>0</v>
      </c>
      <c r="Y160" s="270"/>
      <c r="Z160" s="270"/>
      <c r="AB160" s="272" t="str">
        <f t="shared" si="8"/>
        <v/>
      </c>
    </row>
    <row r="161" spans="1:28" s="271" customFormat="1" ht="20.25">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6"/>
        <v/>
      </c>
      <c r="T161" s="224" t="str">
        <f ca="1">IF(B161="","",IF(ISERROR(MATCH($J161,SorP!$B$1:$B$6230,0)),"",INDIRECT("'SorP'!$A$"&amp;MATCH($J161,SorP!$B$1:$B$6230,0))))</f>
        <v/>
      </c>
      <c r="U161" s="239"/>
      <c r="V161" s="269" t="e">
        <f>IF(C161="",NA(),MATCH($B161&amp;$C161,'Smelter Look-up'!$J:$J,0))</f>
        <v>#N/A</v>
      </c>
      <c r="W161" s="270"/>
      <c r="X161" s="270">
        <f t="shared" ca="1" si="7"/>
        <v>0</v>
      </c>
      <c r="Y161" s="270"/>
      <c r="Z161" s="270"/>
      <c r="AB161" s="272" t="str">
        <f t="shared" si="8"/>
        <v/>
      </c>
    </row>
    <row r="162" spans="1:28" s="271" customFormat="1" ht="20.25">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6"/>
        <v/>
      </c>
      <c r="T162" s="224" t="str">
        <f ca="1">IF(B162="","",IF(ISERROR(MATCH($J162,SorP!$B$1:$B$6230,0)),"",INDIRECT("'SorP'!$A$"&amp;MATCH($J162,SorP!$B$1:$B$6230,0))))</f>
        <v/>
      </c>
      <c r="U162" s="239"/>
      <c r="V162" s="269" t="e">
        <f>IF(C162="",NA(),MATCH($B162&amp;$C162,'Smelter Look-up'!$J:$J,0))</f>
        <v>#N/A</v>
      </c>
      <c r="W162" s="270"/>
      <c r="X162" s="270">
        <f t="shared" ca="1" si="7"/>
        <v>0</v>
      </c>
      <c r="Y162" s="270"/>
      <c r="Z162" s="270"/>
      <c r="AB162" s="272" t="str">
        <f t="shared" si="8"/>
        <v/>
      </c>
    </row>
    <row r="163" spans="1:28" s="271" customFormat="1" ht="20.25">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6"/>
        <v/>
      </c>
      <c r="T163" s="224" t="str">
        <f ca="1">IF(B163="","",IF(ISERROR(MATCH($J163,SorP!$B$1:$B$6230,0)),"",INDIRECT("'SorP'!$A$"&amp;MATCH($J163,SorP!$B$1:$B$6230,0))))</f>
        <v/>
      </c>
      <c r="U163" s="239"/>
      <c r="V163" s="269" t="e">
        <f>IF(C163="",NA(),MATCH($B163&amp;$C163,'Smelter Look-up'!$J:$J,0))</f>
        <v>#N/A</v>
      </c>
      <c r="W163" s="270"/>
      <c r="X163" s="270">
        <f t="shared" ca="1" si="7"/>
        <v>0</v>
      </c>
      <c r="Y163" s="270"/>
      <c r="Z163" s="270"/>
      <c r="AB163" s="272" t="str">
        <f t="shared" si="8"/>
        <v/>
      </c>
    </row>
    <row r="164" spans="1:28" s="271" customFormat="1" ht="20.25">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6"/>
        <v/>
      </c>
      <c r="T164" s="224" t="str">
        <f ca="1">IF(B164="","",IF(ISERROR(MATCH($J164,SorP!$B$1:$B$6230,0)),"",INDIRECT("'SorP'!$A$"&amp;MATCH($J164,SorP!$B$1:$B$6230,0))))</f>
        <v/>
      </c>
      <c r="U164" s="239"/>
      <c r="V164" s="269" t="e">
        <f>IF(C164="",NA(),MATCH($B164&amp;$C164,'Smelter Look-up'!$J:$J,0))</f>
        <v>#N/A</v>
      </c>
      <c r="W164" s="270"/>
      <c r="X164" s="270">
        <f t="shared" ca="1" si="7"/>
        <v>0</v>
      </c>
      <c r="Y164" s="270"/>
      <c r="Z164" s="270"/>
      <c r="AB164" s="272" t="str">
        <f t="shared" si="8"/>
        <v/>
      </c>
    </row>
    <row r="165" spans="1:28" s="271" customFormat="1" ht="20.25">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6"/>
        <v/>
      </c>
      <c r="T165" s="224" t="str">
        <f ca="1">IF(B165="","",IF(ISERROR(MATCH($J165,SorP!$B$1:$B$6230,0)),"",INDIRECT("'SorP'!$A$"&amp;MATCH($J165,SorP!$B$1:$B$6230,0))))</f>
        <v/>
      </c>
      <c r="U165" s="239"/>
      <c r="V165" s="269" t="e">
        <f>IF(C165="",NA(),MATCH($B165&amp;$C165,'Smelter Look-up'!$J:$J,0))</f>
        <v>#N/A</v>
      </c>
      <c r="W165" s="270"/>
      <c r="X165" s="270">
        <f t="shared" ca="1" si="7"/>
        <v>0</v>
      </c>
      <c r="Y165" s="270"/>
      <c r="Z165" s="270"/>
      <c r="AB165" s="272" t="str">
        <f t="shared" si="8"/>
        <v/>
      </c>
    </row>
    <row r="166" spans="1:28" s="271" customFormat="1" ht="20.25">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6"/>
        <v/>
      </c>
      <c r="T166" s="224" t="str">
        <f ca="1">IF(B166="","",IF(ISERROR(MATCH($J166,SorP!$B$1:$B$6230,0)),"",INDIRECT("'SorP'!$A$"&amp;MATCH($J166,SorP!$B$1:$B$6230,0))))</f>
        <v/>
      </c>
      <c r="U166" s="239"/>
      <c r="V166" s="269" t="e">
        <f>IF(C166="",NA(),MATCH($B166&amp;$C166,'Smelter Look-up'!$J:$J,0))</f>
        <v>#N/A</v>
      </c>
      <c r="W166" s="270"/>
      <c r="X166" s="270">
        <f t="shared" ca="1" si="7"/>
        <v>0</v>
      </c>
      <c r="Y166" s="270"/>
      <c r="Z166" s="270"/>
      <c r="AB166" s="272" t="str">
        <f t="shared" si="8"/>
        <v/>
      </c>
    </row>
    <row r="167" spans="1:28" s="271" customFormat="1" ht="20.25">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6"/>
        <v/>
      </c>
      <c r="T167" s="224" t="str">
        <f ca="1">IF(B167="","",IF(ISERROR(MATCH($J167,SorP!$B$1:$B$6230,0)),"",INDIRECT("'SorP'!$A$"&amp;MATCH($J167,SorP!$B$1:$B$6230,0))))</f>
        <v/>
      </c>
      <c r="U167" s="239"/>
      <c r="V167" s="269" t="e">
        <f>IF(C167="",NA(),MATCH($B167&amp;$C167,'Smelter Look-up'!$J:$J,0))</f>
        <v>#N/A</v>
      </c>
      <c r="W167" s="270"/>
      <c r="X167" s="270">
        <f t="shared" ca="1" si="7"/>
        <v>0</v>
      </c>
      <c r="Y167" s="270"/>
      <c r="Z167" s="270"/>
      <c r="AB167" s="272" t="str">
        <f t="shared" si="8"/>
        <v/>
      </c>
    </row>
    <row r="168" spans="1:28" s="271" customFormat="1" ht="20.25">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6"/>
        <v/>
      </c>
      <c r="T168" s="224" t="str">
        <f ca="1">IF(B168="","",IF(ISERROR(MATCH($J168,SorP!$B$1:$B$6230,0)),"",INDIRECT("'SorP'!$A$"&amp;MATCH($J168,SorP!$B$1:$B$6230,0))))</f>
        <v/>
      </c>
      <c r="U168" s="239"/>
      <c r="V168" s="269" t="e">
        <f>IF(C168="",NA(),MATCH($B168&amp;$C168,'Smelter Look-up'!$J:$J,0))</f>
        <v>#N/A</v>
      </c>
      <c r="W168" s="270"/>
      <c r="X168" s="270">
        <f t="shared" ca="1" si="7"/>
        <v>0</v>
      </c>
      <c r="Y168" s="270"/>
      <c r="Z168" s="270"/>
      <c r="AB168" s="272" t="str">
        <f t="shared" si="8"/>
        <v/>
      </c>
    </row>
    <row r="169" spans="1:28" s="271" customFormat="1" ht="20.25">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6"/>
        <v/>
      </c>
      <c r="T169" s="224" t="str">
        <f ca="1">IF(B169="","",IF(ISERROR(MATCH($J169,SorP!$B$1:$B$6230,0)),"",INDIRECT("'SorP'!$A$"&amp;MATCH($J169,SorP!$B$1:$B$6230,0))))</f>
        <v/>
      </c>
      <c r="U169" s="239"/>
      <c r="V169" s="269" t="e">
        <f>IF(C169="",NA(),MATCH($B169&amp;$C169,'Smelter Look-up'!$J:$J,0))</f>
        <v>#N/A</v>
      </c>
      <c r="W169" s="270"/>
      <c r="X169" s="270">
        <f t="shared" ca="1" si="7"/>
        <v>0</v>
      </c>
      <c r="Y169" s="270"/>
      <c r="Z169" s="270"/>
      <c r="AB169" s="272" t="str">
        <f t="shared" si="8"/>
        <v/>
      </c>
    </row>
    <row r="170" spans="1:28" s="271" customFormat="1" ht="20.25">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6"/>
        <v/>
      </c>
      <c r="T170" s="224" t="str">
        <f ca="1">IF(B170="","",IF(ISERROR(MATCH($J170,SorP!$B$1:$B$6230,0)),"",INDIRECT("'SorP'!$A$"&amp;MATCH($J170,SorP!$B$1:$B$6230,0))))</f>
        <v/>
      </c>
      <c r="U170" s="239"/>
      <c r="V170" s="269" t="e">
        <f>IF(C170="",NA(),MATCH($B170&amp;$C170,'Smelter Look-up'!$J:$J,0))</f>
        <v>#N/A</v>
      </c>
      <c r="W170" s="270"/>
      <c r="X170" s="270">
        <f t="shared" ca="1" si="7"/>
        <v>0</v>
      </c>
      <c r="Y170" s="270"/>
      <c r="Z170" s="270"/>
      <c r="AB170" s="272" t="str">
        <f t="shared" si="8"/>
        <v/>
      </c>
    </row>
    <row r="171" spans="1:28" s="271" customFormat="1" ht="20.25">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6"/>
        <v/>
      </c>
      <c r="T171" s="224" t="str">
        <f ca="1">IF(B171="","",IF(ISERROR(MATCH($J171,SorP!$B$1:$B$6230,0)),"",INDIRECT("'SorP'!$A$"&amp;MATCH($J171,SorP!$B$1:$B$6230,0))))</f>
        <v/>
      </c>
      <c r="U171" s="239"/>
      <c r="V171" s="269" t="e">
        <f>IF(C171="",NA(),MATCH($B171&amp;$C171,'Smelter Look-up'!$J:$J,0))</f>
        <v>#N/A</v>
      </c>
      <c r="W171" s="270"/>
      <c r="X171" s="270">
        <f t="shared" ca="1" si="7"/>
        <v>0</v>
      </c>
      <c r="Y171" s="270"/>
      <c r="Z171" s="270"/>
      <c r="AB171" s="272" t="str">
        <f t="shared" si="8"/>
        <v/>
      </c>
    </row>
    <row r="172" spans="1:28" s="271" customFormat="1" ht="20.25">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6"/>
        <v/>
      </c>
      <c r="T172" s="224" t="str">
        <f ca="1">IF(B172="","",IF(ISERROR(MATCH($J172,SorP!$B$1:$B$6230,0)),"",INDIRECT("'SorP'!$A$"&amp;MATCH($J172,SorP!$B$1:$B$6230,0))))</f>
        <v/>
      </c>
      <c r="U172" s="239"/>
      <c r="V172" s="269" t="e">
        <f>IF(C172="",NA(),MATCH($B172&amp;$C172,'Smelter Look-up'!$J:$J,0))</f>
        <v>#N/A</v>
      </c>
      <c r="W172" s="270"/>
      <c r="X172" s="270">
        <f t="shared" ca="1" si="7"/>
        <v>0</v>
      </c>
      <c r="Y172" s="270"/>
      <c r="Z172" s="270"/>
      <c r="AB172" s="272" t="str">
        <f t="shared" si="8"/>
        <v/>
      </c>
    </row>
    <row r="173" spans="1:28" s="271" customFormat="1" ht="20.25">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6"/>
        <v/>
      </c>
      <c r="T173" s="224" t="str">
        <f ca="1">IF(B173="","",IF(ISERROR(MATCH($J173,SorP!$B$1:$B$6230,0)),"",INDIRECT("'SorP'!$A$"&amp;MATCH($J173,SorP!$B$1:$B$6230,0))))</f>
        <v/>
      </c>
      <c r="U173" s="239"/>
      <c r="V173" s="269" t="e">
        <f>IF(C173="",NA(),MATCH($B173&amp;$C173,'Smelter Look-up'!$J:$J,0))</f>
        <v>#N/A</v>
      </c>
      <c r="W173" s="270"/>
      <c r="X173" s="270">
        <f t="shared" ca="1" si="7"/>
        <v>0</v>
      </c>
      <c r="Y173" s="270"/>
      <c r="Z173" s="270"/>
      <c r="AB173" s="272" t="str">
        <f t="shared" si="8"/>
        <v/>
      </c>
    </row>
    <row r="174" spans="1:28" s="271" customFormat="1" ht="20.25">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6"/>
        <v/>
      </c>
      <c r="T174" s="224" t="str">
        <f ca="1">IF(B174="","",IF(ISERROR(MATCH($J174,SorP!$B$1:$B$6230,0)),"",INDIRECT("'SorP'!$A$"&amp;MATCH($J174,SorP!$B$1:$B$6230,0))))</f>
        <v/>
      </c>
      <c r="U174" s="239"/>
      <c r="V174" s="269" t="e">
        <f>IF(C174="",NA(),MATCH($B174&amp;$C174,'Smelter Look-up'!$J:$J,0))</f>
        <v>#N/A</v>
      </c>
      <c r="W174" s="270"/>
      <c r="X174" s="270">
        <f t="shared" ca="1" si="7"/>
        <v>0</v>
      </c>
      <c r="Y174" s="270"/>
      <c r="Z174" s="270"/>
      <c r="AB174" s="272" t="str">
        <f t="shared" si="8"/>
        <v/>
      </c>
    </row>
    <row r="175" spans="1:28" s="271" customFormat="1" ht="20.25">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20.25">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20.25">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20.25">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20.25">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20.25">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20.25">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20.25">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20.25">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20.25">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20.25">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20.25">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20.25">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
      </c>
      <c r="T187" s="224" t="str">
        <f ca="1">IF(B187="","",IF(ISERROR(MATCH($J187,SorP!$B$1:$B$6230,0)),"",INDIRECT("'SorP'!$A$"&amp;MATCH($J187,SorP!$B$1:$B$6230,0))))</f>
        <v/>
      </c>
      <c r="U187" s="239"/>
      <c r="V187" s="269" t="e">
        <f>IF(C187="",NA(),MATCH($B187&amp;$C187,'Smelter Look-up'!$J:$J,0))</f>
        <v>#N/A</v>
      </c>
      <c r="W187" s="270"/>
      <c r="X187" s="270">
        <f t="shared" ca="1" si="7"/>
        <v>0</v>
      </c>
      <c r="Y187" s="270"/>
      <c r="Z187" s="270"/>
      <c r="AB187" s="272" t="str">
        <f t="shared" si="8"/>
        <v/>
      </c>
    </row>
    <row r="188" spans="1:28" s="271" customFormat="1" ht="20.25">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6"/>
        <v/>
      </c>
      <c r="T188" s="224" t="str">
        <f ca="1">IF(B188="","",IF(ISERROR(MATCH($J188,SorP!$B$1:$B$6230,0)),"",INDIRECT("'SorP'!$A$"&amp;MATCH($J188,SorP!$B$1:$B$6230,0))))</f>
        <v/>
      </c>
      <c r="U188" s="239"/>
      <c r="V188" s="269" t="e">
        <f>IF(C188="",NA(),MATCH($B188&amp;$C188,'Smelter Look-up'!$J:$J,0))</f>
        <v>#N/A</v>
      </c>
      <c r="W188" s="270"/>
      <c r="X188" s="270">
        <f t="shared" ca="1" si="7"/>
        <v>0</v>
      </c>
      <c r="Y188" s="270"/>
      <c r="Z188" s="270"/>
      <c r="AB188" s="272" t="str">
        <f t="shared" si="8"/>
        <v/>
      </c>
    </row>
    <row r="189" spans="1:28" s="271" customFormat="1" ht="20.25">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6"/>
        <v/>
      </c>
      <c r="T189" s="224" t="str">
        <f ca="1">IF(B189="","",IF(ISERROR(MATCH($J189,SorP!$B$1:$B$6230,0)),"",INDIRECT("'SorP'!$A$"&amp;MATCH($J189,SorP!$B$1:$B$6230,0))))</f>
        <v/>
      </c>
      <c r="U189" s="239"/>
      <c r="V189" s="269" t="e">
        <f>IF(C189="",NA(),MATCH($B189&amp;$C189,'Smelter Look-up'!$J:$J,0))</f>
        <v>#N/A</v>
      </c>
      <c r="W189" s="270"/>
      <c r="X189" s="270">
        <f t="shared" ca="1" si="7"/>
        <v>0</v>
      </c>
      <c r="Y189" s="270"/>
      <c r="Z189" s="270"/>
      <c r="AB189" s="272" t="str">
        <f t="shared" si="8"/>
        <v/>
      </c>
    </row>
    <row r="190" spans="1:28" s="271" customFormat="1" ht="20.25">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6"/>
        <v/>
      </c>
      <c r="T190" s="224" t="str">
        <f ca="1">IF(B190="","",IF(ISERROR(MATCH($J190,SorP!$B$1:$B$6230,0)),"",INDIRECT("'SorP'!$A$"&amp;MATCH($J190,SorP!$B$1:$B$6230,0))))</f>
        <v/>
      </c>
      <c r="U190" s="239"/>
      <c r="V190" s="269" t="e">
        <f>IF(C190="",NA(),MATCH($B190&amp;$C190,'Smelter Look-up'!$J:$J,0))</f>
        <v>#N/A</v>
      </c>
      <c r="W190" s="270"/>
      <c r="X190" s="270">
        <f t="shared" ca="1" si="7"/>
        <v>0</v>
      </c>
      <c r="Y190" s="270"/>
      <c r="Z190" s="270"/>
      <c r="AB190" s="272" t="str">
        <f t="shared" si="8"/>
        <v/>
      </c>
    </row>
    <row r="191" spans="1:28" s="271" customFormat="1" ht="20.25">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6"/>
        <v/>
      </c>
      <c r="T191" s="224" t="str">
        <f ca="1">IF(B191="","",IF(ISERROR(MATCH($J191,SorP!$B$1:$B$6230,0)),"",INDIRECT("'SorP'!$A$"&amp;MATCH($J191,SorP!$B$1:$B$6230,0))))</f>
        <v/>
      </c>
      <c r="U191" s="239"/>
      <c r="V191" s="269" t="e">
        <f>IF(C191="",NA(),MATCH($B191&amp;$C191,'Smelter Look-up'!$J:$J,0))</f>
        <v>#N/A</v>
      </c>
      <c r="W191" s="270"/>
      <c r="X191" s="270">
        <f t="shared" ca="1" si="7"/>
        <v>0</v>
      </c>
      <c r="Y191" s="270"/>
      <c r="Z191" s="270"/>
      <c r="AB191" s="272" t="str">
        <f t="shared" si="8"/>
        <v/>
      </c>
    </row>
    <row r="192" spans="1:28" s="271" customFormat="1" ht="20.25">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6"/>
        <v/>
      </c>
      <c r="T192" s="224" t="str">
        <f ca="1">IF(B192="","",IF(ISERROR(MATCH($J192,SorP!$B$1:$B$6230,0)),"",INDIRECT("'SorP'!$A$"&amp;MATCH($J192,SorP!$B$1:$B$6230,0))))</f>
        <v/>
      </c>
      <c r="U192" s="239"/>
      <c r="V192" s="269" t="e">
        <f>IF(C192="",NA(),MATCH($B192&amp;$C192,'Smelter Look-up'!$J:$J,0))</f>
        <v>#N/A</v>
      </c>
      <c r="W192" s="270"/>
      <c r="X192" s="270">
        <f t="shared" ca="1" si="7"/>
        <v>0</v>
      </c>
      <c r="Y192" s="270"/>
      <c r="Z192" s="270"/>
      <c r="AB192" s="272" t="str">
        <f t="shared" si="8"/>
        <v/>
      </c>
    </row>
    <row r="193" spans="1:28" s="271" customFormat="1" ht="20.25">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6"/>
        <v/>
      </c>
      <c r="T193" s="224" t="str">
        <f ca="1">IF(B193="","",IF(ISERROR(MATCH($J193,SorP!$B$1:$B$6230,0)),"",INDIRECT("'SorP'!$A$"&amp;MATCH($J193,SorP!$B$1:$B$6230,0))))</f>
        <v/>
      </c>
      <c r="U193" s="239"/>
      <c r="V193" s="269" t="e">
        <f>IF(C193="",NA(),MATCH($B193&amp;$C193,'Smelter Look-up'!$J:$J,0))</f>
        <v>#N/A</v>
      </c>
      <c r="W193" s="270"/>
      <c r="X193" s="270">
        <f t="shared" ca="1" si="7"/>
        <v>0</v>
      </c>
      <c r="Y193" s="270"/>
      <c r="Z193" s="270"/>
      <c r="AB193" s="272" t="str">
        <f t="shared" si="8"/>
        <v/>
      </c>
    </row>
    <row r="194" spans="1:28" s="271" customFormat="1" ht="20.25">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6"/>
        <v/>
      </c>
      <c r="T194" s="224" t="str">
        <f ca="1">IF(B194="","",IF(ISERROR(MATCH($J194,SorP!$B$1:$B$6230,0)),"",INDIRECT("'SorP'!$A$"&amp;MATCH($J194,SorP!$B$1:$B$6230,0))))</f>
        <v/>
      </c>
      <c r="U194" s="239"/>
      <c r="V194" s="269" t="e">
        <f>IF(C194="",NA(),MATCH($B194&amp;$C194,'Smelter Look-up'!$J:$J,0))</f>
        <v>#N/A</v>
      </c>
      <c r="W194" s="270"/>
      <c r="X194" s="270">
        <f t="shared" ca="1" si="7"/>
        <v>0</v>
      </c>
      <c r="Y194" s="270"/>
      <c r="Z194" s="270"/>
      <c r="AB194" s="272" t="str">
        <f t="shared" si="8"/>
        <v/>
      </c>
    </row>
    <row r="195" spans="1:28" s="271" customFormat="1" ht="20.25">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6"/>
        <v/>
      </c>
      <c r="T195" s="224" t="str">
        <f ca="1">IF(B195="","",IF(ISERROR(MATCH($J195,SorP!$B$1:$B$6230,0)),"",INDIRECT("'SorP'!$A$"&amp;MATCH($J195,SorP!$B$1:$B$6230,0))))</f>
        <v/>
      </c>
      <c r="U195" s="239"/>
      <c r="V195" s="269" t="e">
        <f>IF(C195="",NA(),MATCH($B195&amp;$C195,'Smelter Look-up'!$J:$J,0))</f>
        <v>#N/A</v>
      </c>
      <c r="W195" s="270"/>
      <c r="X195" s="270">
        <f t="shared" ca="1" si="7"/>
        <v>0</v>
      </c>
      <c r="Y195" s="270"/>
      <c r="Z195" s="270"/>
      <c r="AB195" s="272" t="str">
        <f t="shared" si="8"/>
        <v/>
      </c>
    </row>
    <row r="196" spans="1:28" s="271" customFormat="1" ht="20.25">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6"/>
        <v/>
      </c>
      <c r="T196" s="224" t="str">
        <f ca="1">IF(B196="","",IF(ISERROR(MATCH($J196,SorP!$B$1:$B$6230,0)),"",INDIRECT("'SorP'!$A$"&amp;MATCH($J196,SorP!$B$1:$B$6230,0))))</f>
        <v/>
      </c>
      <c r="U196" s="239"/>
      <c r="V196" s="269" t="e">
        <f>IF(C196="",NA(),MATCH($B196&amp;$C196,'Smelter Look-up'!$J:$J,0))</f>
        <v>#N/A</v>
      </c>
      <c r="W196" s="270"/>
      <c r="X196" s="270">
        <f t="shared" ca="1" si="7"/>
        <v>0</v>
      </c>
      <c r="Y196" s="270"/>
      <c r="Z196" s="270"/>
      <c r="AB196" s="272" t="str">
        <f t="shared" si="8"/>
        <v/>
      </c>
    </row>
    <row r="197" spans="1:28" s="271" customFormat="1" ht="20.25">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ref="S197:S260" ca="1" si="9">IF(B197="","",IF(ISERROR(MATCH($E197,CL,0)),"Unknown",INDIRECT("'C'!$A$"&amp;MATCH($E197,CL,0)+1)))</f>
        <v/>
      </c>
      <c r="T197" s="224" t="str">
        <f ca="1">IF(B197="","",IF(ISERROR(MATCH($J197,SorP!$B$1:$B$6230,0)),"",INDIRECT("'SorP'!$A$"&amp;MATCH($J197,SorP!$B$1:$B$6230,0))))</f>
        <v/>
      </c>
      <c r="U197" s="239"/>
      <c r="V197" s="269" t="e">
        <f>IF(C197="",NA(),MATCH($B197&amp;$C197,'Smelter Look-up'!$J:$J,0))</f>
        <v>#N/A</v>
      </c>
      <c r="W197" s="270"/>
      <c r="X197" s="270">
        <f t="shared" ref="X197:X260" ca="1" si="10">IF(AND(C197="Smelter not listed",OR(LEN(D197)=0,LEN(E197)=0)),1,0)</f>
        <v>0</v>
      </c>
      <c r="Y197" s="270"/>
      <c r="Z197" s="270"/>
      <c r="AB197" s="272" t="str">
        <f t="shared" ref="AB197:AB260" si="11">B197&amp;C197</f>
        <v/>
      </c>
    </row>
    <row r="198" spans="1:28" s="271" customFormat="1" ht="20.25">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25">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25">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25">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25">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25">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25">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25">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25">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25">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25">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25">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25">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25">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25">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25">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25">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25">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25">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25">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25">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25">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25">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25">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25">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25">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25">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25">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25">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25">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25">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25">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25">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25">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25">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25">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25">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25">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25">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25">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25">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25">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25">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25">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25">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25">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25">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25">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25">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25">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25">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25">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25">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25">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20.25">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20.25">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20.25">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20.25">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20.25">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ca="1" si="10"/>
        <v>0</v>
      </c>
      <c r="Y256" s="270"/>
      <c r="Z256" s="270"/>
      <c r="AB256" s="272" t="str">
        <f t="shared" si="11"/>
        <v/>
      </c>
    </row>
    <row r="257" spans="1:28" s="271" customFormat="1" ht="20.25">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9"/>
        <v/>
      </c>
      <c r="T257" s="224" t="str">
        <f ca="1">IF(B257="","",IF(ISERROR(MATCH($J257,SorP!$B$1:$B$6230,0)),"",INDIRECT("'SorP'!$A$"&amp;MATCH($J257,SorP!$B$1:$B$6230,0))))</f>
        <v/>
      </c>
      <c r="U257" s="239"/>
      <c r="V257" s="269" t="e">
        <f>IF(C257="",NA(),MATCH($B257&amp;$C257,'Smelter Look-up'!$J:$J,0))</f>
        <v>#N/A</v>
      </c>
      <c r="W257" s="270"/>
      <c r="X257" s="270">
        <f t="shared" ca="1" si="10"/>
        <v>0</v>
      </c>
      <c r="Y257" s="270"/>
      <c r="Z257" s="270"/>
      <c r="AB257" s="272" t="str">
        <f t="shared" si="11"/>
        <v/>
      </c>
    </row>
    <row r="258" spans="1:28" s="271" customFormat="1" ht="20.25">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9"/>
        <v/>
      </c>
      <c r="T258" s="224" t="str">
        <f ca="1">IF(B258="","",IF(ISERROR(MATCH($J258,SorP!$B$1:$B$6230,0)),"",INDIRECT("'SorP'!$A$"&amp;MATCH($J258,SorP!$B$1:$B$6230,0))))</f>
        <v/>
      </c>
      <c r="U258" s="239"/>
      <c r="V258" s="269" t="e">
        <f>IF(C258="",NA(),MATCH($B258&amp;$C258,'Smelter Look-up'!$J:$J,0))</f>
        <v>#N/A</v>
      </c>
      <c r="W258" s="270"/>
      <c r="X258" s="270">
        <f t="shared" ca="1" si="10"/>
        <v>0</v>
      </c>
      <c r="Y258" s="270"/>
      <c r="Z258" s="270"/>
      <c r="AB258" s="272" t="str">
        <f t="shared" si="11"/>
        <v/>
      </c>
    </row>
    <row r="259" spans="1:28" s="271" customFormat="1" ht="20.25">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9"/>
        <v/>
      </c>
      <c r="T259" s="224" t="str">
        <f ca="1">IF(B259="","",IF(ISERROR(MATCH($J259,SorP!$B$1:$B$6230,0)),"",INDIRECT("'SorP'!$A$"&amp;MATCH($J259,SorP!$B$1:$B$6230,0))))</f>
        <v/>
      </c>
      <c r="U259" s="239"/>
      <c r="V259" s="269" t="e">
        <f>IF(C259="",NA(),MATCH($B259&amp;$C259,'Smelter Look-up'!$J:$J,0))</f>
        <v>#N/A</v>
      </c>
      <c r="W259" s="270"/>
      <c r="X259" s="270">
        <f t="shared" ca="1" si="10"/>
        <v>0</v>
      </c>
      <c r="Y259" s="270"/>
      <c r="Z259" s="270"/>
      <c r="AB259" s="272" t="str">
        <f t="shared" si="11"/>
        <v/>
      </c>
    </row>
    <row r="260" spans="1:28" s="271" customFormat="1" ht="20.25">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9"/>
        <v/>
      </c>
      <c r="T260" s="224" t="str">
        <f ca="1">IF(B260="","",IF(ISERROR(MATCH($J260,SorP!$B$1:$B$6230,0)),"",INDIRECT("'SorP'!$A$"&amp;MATCH($J260,SorP!$B$1:$B$6230,0))))</f>
        <v/>
      </c>
      <c r="U260" s="239"/>
      <c r="V260" s="269" t="e">
        <f>IF(C260="",NA(),MATCH($B260&amp;$C260,'Smelter Look-up'!$J:$J,0))</f>
        <v>#N/A</v>
      </c>
      <c r="W260" s="270"/>
      <c r="X260" s="270">
        <f t="shared" ca="1" si="10"/>
        <v>0</v>
      </c>
      <c r="Y260" s="270"/>
      <c r="Z260" s="270"/>
      <c r="AB260" s="272" t="str">
        <f t="shared" si="11"/>
        <v/>
      </c>
    </row>
    <row r="261" spans="1:28" s="271" customFormat="1" ht="20.25">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ref="S261:S324" ca="1" si="12">IF(B261="","",IF(ISERROR(MATCH($E261,CL,0)),"Unknown",INDIRECT("'C'!$A$"&amp;MATCH($E261,CL,0)+1)))</f>
        <v/>
      </c>
      <c r="T261" s="224" t="str">
        <f ca="1">IF(B261="","",IF(ISERROR(MATCH($J261,SorP!$B$1:$B$6230,0)),"",INDIRECT("'SorP'!$A$"&amp;MATCH($J261,SorP!$B$1:$B$6230,0))))</f>
        <v/>
      </c>
      <c r="U261" s="239"/>
      <c r="V261" s="269" t="e">
        <f>IF(C261="",NA(),MATCH($B261&amp;$C261,'Smelter Look-up'!$J:$J,0))</f>
        <v>#N/A</v>
      </c>
      <c r="W261" s="270"/>
      <c r="X261" s="270">
        <f t="shared" ref="X261:X324" ca="1" si="13">IF(AND(C261="Smelter not listed",OR(LEN(D261)=0,LEN(E261)=0)),1,0)</f>
        <v>0</v>
      </c>
      <c r="Y261" s="270"/>
      <c r="Z261" s="270"/>
      <c r="AB261" s="272" t="str">
        <f t="shared" ref="AB261:AB324" si="14">B261&amp;C261</f>
        <v/>
      </c>
    </row>
    <row r="262" spans="1:28" s="271" customFormat="1" ht="20.25">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25">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25">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25">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25">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25">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25">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25">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25">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25">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25">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25">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25">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25">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2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2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2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2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2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2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2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2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2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2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2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2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2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2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2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2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2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2"/>
        <v/>
      </c>
      <c r="T324" s="224" t="str">
        <f ca="1">IF(B324="","",IF(ISERROR(MATCH($J324,SorP!$B$1:$B$6230,0)),"",INDIRECT("'SorP'!$A$"&amp;MATCH($J324,SorP!$B$1:$B$6230,0))))</f>
        <v/>
      </c>
      <c r="U324" s="239"/>
      <c r="V324" s="269" t="e">
        <f>IF(C324="",NA(),MATCH($B324&amp;$C324,'Smelter Look-up'!$J:$J,0))</f>
        <v>#N/A</v>
      </c>
      <c r="W324" s="270"/>
      <c r="X324" s="270">
        <f t="shared" ca="1" si="13"/>
        <v>0</v>
      </c>
      <c r="Y324" s="270"/>
      <c r="Z324" s="270"/>
      <c r="AB324" s="272" t="str">
        <f t="shared" si="14"/>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5">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6">IF(AND(C325="Smelter not listed",OR(LEN(D325)=0,LEN(E325)=0)),1,0)</f>
        <v>0</v>
      </c>
      <c r="Y325" s="270"/>
      <c r="Z325" s="270"/>
      <c r="AB325" s="272" t="str">
        <f t="shared" ref="AB325:AB388" si="17">B325&amp;C325</f>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7">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28">IF(AND(C581="Smelter not listed",OR(LEN(D581)=0,LEN(E581)=0)),1,0)</f>
        <v>0</v>
      </c>
      <c r="Y581" s="270"/>
      <c r="Z581" s="270"/>
      <c r="AB581" s="272" t="str">
        <f t="shared" ref="AB581:AB585" si="29">B581&amp;C581</f>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7"/>
        <v/>
      </c>
      <c r="T585" s="224" t="str">
        <f ca="1">IF(B585="","",IF(ISERROR(MATCH($J585,SorP!$B$1:$B$6230,0)),"",INDIRECT("'SorP'!$A$"&amp;MATCH($J585,SorP!$B$1:$B$6230,0))))</f>
        <v/>
      </c>
      <c r="U585" s="239"/>
      <c r="V585" s="269" t="e">
        <f>IF(C585="",NA(),MATCH($B585&amp;$C585,'Smelter Look-up'!$J:$J,0))</f>
        <v>#N/A</v>
      </c>
      <c r="W585" s="270"/>
      <c r="X585" s="270">
        <f t="shared" ca="1" si="28"/>
        <v>0</v>
      </c>
      <c r="Y585" s="270"/>
      <c r="Z585" s="270"/>
      <c r="AB585" s="272" t="str">
        <f t="shared" si="29"/>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0">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1">IF(AND(C586="Smelter not listed",OR(LEN(D586)=0,LEN(E586)=0)),1,0)</f>
        <v>0</v>
      </c>
      <c r="Y586" s="270"/>
      <c r="Z586" s="270"/>
      <c r="AB586" s="272" t="str">
        <f t="shared" ref="AB586:AB634" si="32">B586&amp;C586</f>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
      </c>
      <c r="T634" s="224" t="str">
        <f ca="1">IF(B634="","",IF(ISERROR(MATCH($J634,SorP!$B$1:$B$6230,0)),"",INDIRECT("'SorP'!$A$"&amp;MATCH($J634,SorP!$B$1:$B$6230,0))))</f>
        <v/>
      </c>
      <c r="U634" s="239"/>
      <c r="V634" s="269" t="e">
        <f>IF(C634="",NA(),MATCH($B634&amp;$C634,'Smelter Look-up'!$J:$J,0))</f>
        <v>#N/A</v>
      </c>
      <c r="W634" s="270"/>
      <c r="X634" s="270">
        <f t="shared" ca="1" si="31"/>
        <v>0</v>
      </c>
      <c r="Y634" s="270"/>
      <c r="Z634" s="270"/>
      <c r="AB634" s="272" t="str">
        <f t="shared" si="32"/>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3">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4">IF(AND(C635="Smelter not listed",OR(LEN(D635)=0,LEN(E635)=0)),1,0)</f>
        <v>0</v>
      </c>
      <c r="Y635" s="270"/>
      <c r="Z635" s="270"/>
      <c r="AB635" s="272" t="str">
        <f t="shared" ref="AB635:AB698" si="35">B635&amp;C635</f>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3"/>
        <v/>
      </c>
      <c r="T698" s="224" t="str">
        <f ca="1">IF(B698="","",IF(ISERROR(MATCH($J698,SorP!$B$1:$B$6230,0)),"",INDIRECT("'SorP'!$A$"&amp;MATCH($J698,SorP!$B$1:$B$6230,0))))</f>
        <v/>
      </c>
      <c r="U698" s="239"/>
      <c r="V698" s="269" t="e">
        <f>IF(C698="",NA(),MATCH($B698&amp;$C698,'Smelter Look-up'!$J:$J,0))</f>
        <v>#N/A</v>
      </c>
      <c r="W698" s="270"/>
      <c r="X698" s="270">
        <f t="shared" ca="1" si="34"/>
        <v>0</v>
      </c>
      <c r="Y698" s="270"/>
      <c r="Z698" s="270"/>
      <c r="AB698" s="272" t="str">
        <f t="shared" si="35"/>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6">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7">IF(AND(C699="Smelter not listed",OR(LEN(D699)=0,LEN(E699)=0)),1,0)</f>
        <v>0</v>
      </c>
      <c r="Y699" s="270"/>
      <c r="Z699" s="270"/>
      <c r="AB699" s="272" t="str">
        <f t="shared" ref="AB699:AB762" si="38">B699&amp;C699</f>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6"/>
        <v/>
      </c>
      <c r="T762" s="224" t="str">
        <f ca="1">IF(B762="","",IF(ISERROR(MATCH($J762,SorP!$B$1:$B$6230,0)),"",INDIRECT("'SorP'!$A$"&amp;MATCH($J762,SorP!$B$1:$B$6230,0))))</f>
        <v/>
      </c>
      <c r="U762" s="239"/>
      <c r="V762" s="269" t="e">
        <f>IF(C762="",NA(),MATCH($B762&amp;$C762,'Smelter Look-up'!$J:$J,0))</f>
        <v>#N/A</v>
      </c>
      <c r="W762" s="270"/>
      <c r="X762" s="270">
        <f t="shared" ca="1" si="37"/>
        <v>0</v>
      </c>
      <c r="Y762" s="270"/>
      <c r="Z762" s="270"/>
      <c r="AB762" s="272" t="str">
        <f t="shared" si="38"/>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9">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0">IF(AND(C763="Smelter not listed",OR(LEN(D763)=0,LEN(E763)=0)),1,0)</f>
        <v>0</v>
      </c>
      <c r="Y763" s="270"/>
      <c r="Z763" s="270"/>
      <c r="AB763" s="272" t="str">
        <f t="shared" ref="AB763:AB826" si="41">B763&amp;C763</f>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9"/>
        <v/>
      </c>
      <c r="T826" s="224" t="str">
        <f ca="1">IF(B826="","",IF(ISERROR(MATCH($J826,SorP!$B$1:$B$6230,0)),"",INDIRECT("'SorP'!$A$"&amp;MATCH($J826,SorP!$B$1:$B$6230,0))))</f>
        <v/>
      </c>
      <c r="U826" s="239"/>
      <c r="V826" s="269" t="e">
        <f>IF(C826="",NA(),MATCH($B826&amp;$C826,'Smelter Look-up'!$J:$J,0))</f>
        <v>#N/A</v>
      </c>
      <c r="W826" s="270"/>
      <c r="X826" s="270">
        <f t="shared" ca="1" si="40"/>
        <v>0</v>
      </c>
      <c r="Y826" s="270"/>
      <c r="Z826" s="270"/>
      <c r="AB826" s="272" t="str">
        <f t="shared" si="41"/>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2">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3">IF(AND(C827="Smelter not listed",OR(LEN(D827)=0,LEN(E827)=0)),1,0)</f>
        <v>0</v>
      </c>
      <c r="Y827" s="270"/>
      <c r="Z827" s="270"/>
      <c r="AB827" s="272" t="str">
        <f t="shared" ref="AB827:AB890" si="44">B827&amp;C827</f>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2"/>
        <v/>
      </c>
      <c r="T890" s="224" t="str">
        <f ca="1">IF(B890="","",IF(ISERROR(MATCH($J890,SorP!$B$1:$B$6230,0)),"",INDIRECT("'SorP'!$A$"&amp;MATCH($J890,SorP!$B$1:$B$6230,0))))</f>
        <v/>
      </c>
      <c r="U890" s="239"/>
      <c r="V890" s="269" t="e">
        <f>IF(C890="",NA(),MATCH($B890&amp;$C890,'Smelter Look-up'!$J:$J,0))</f>
        <v>#N/A</v>
      </c>
      <c r="W890" s="270"/>
      <c r="X890" s="270">
        <f t="shared" ca="1" si="43"/>
        <v>0</v>
      </c>
      <c r="Y890" s="270"/>
      <c r="Z890" s="270"/>
      <c r="AB890" s="272" t="str">
        <f t="shared" si="44"/>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5">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6">IF(AND(C891="Smelter not listed",OR(LEN(D891)=0,LEN(E891)=0)),1,0)</f>
        <v>0</v>
      </c>
      <c r="Y891" s="270"/>
      <c r="Z891" s="270"/>
      <c r="AB891" s="272" t="str">
        <f t="shared" ref="AB891:AB954" si="47">B891&amp;C891</f>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5"/>
        <v/>
      </c>
      <c r="T954" s="224" t="str">
        <f ca="1">IF(B954="","",IF(ISERROR(MATCH($J954,SorP!$B$1:$B$6230,0)),"",INDIRECT("'SorP'!$A$"&amp;MATCH($J954,SorP!$B$1:$B$6230,0))))</f>
        <v/>
      </c>
      <c r="U954" s="239"/>
      <c r="V954" s="269" t="e">
        <f>IF(C954="",NA(),MATCH($B954&amp;$C954,'Smelter Look-up'!$J:$J,0))</f>
        <v>#N/A</v>
      </c>
      <c r="W954" s="270"/>
      <c r="X954" s="270">
        <f t="shared" ca="1" si="46"/>
        <v>0</v>
      </c>
      <c r="Y954" s="270"/>
      <c r="Z954" s="270"/>
      <c r="AB954" s="272" t="str">
        <f t="shared" si="47"/>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8">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9">IF(AND(C955="Smelter not listed",OR(LEN(D955)=0,LEN(E955)=0)),1,0)</f>
        <v>0</v>
      </c>
      <c r="Y955" s="270"/>
      <c r="Z955" s="270"/>
      <c r="AB955" s="272" t="str">
        <f t="shared" ref="AB955:AB1018" si="50">B955&amp;C955</f>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8"/>
        <v/>
      </c>
      <c r="T1018" s="224" t="str">
        <f ca="1">IF(B1018="","",IF(ISERROR(MATCH($J1018,SorP!$B$1:$B$6230,0)),"",INDIRECT("'SorP'!$A$"&amp;MATCH($J1018,SorP!$B$1:$B$6230,0))))</f>
        <v/>
      </c>
      <c r="U1018" s="239"/>
      <c r="V1018" s="269" t="e">
        <f>IF(C1018="",NA(),MATCH($B1018&amp;$C1018,'Smelter Look-up'!$J:$J,0))</f>
        <v>#N/A</v>
      </c>
      <c r="W1018" s="270"/>
      <c r="X1018" s="270">
        <f t="shared" ca="1" si="49"/>
        <v>0</v>
      </c>
      <c r="Y1018" s="270"/>
      <c r="Z1018" s="270"/>
      <c r="AB1018" s="272" t="str">
        <f t="shared" si="50"/>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1">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2">IF(AND(C1019="Smelter not listed",OR(LEN(D1019)=0,LEN(E1019)=0)),1,0)</f>
        <v>0</v>
      </c>
      <c r="Y1019" s="270"/>
      <c r="Z1019" s="270"/>
      <c r="AB1019" s="272" t="str">
        <f t="shared" ref="AB1019:AB1082" si="53">B1019&amp;C1019</f>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1"/>
        <v/>
      </c>
      <c r="T1082" s="224" t="str">
        <f ca="1">IF(B1082="","",IF(ISERROR(MATCH($J1082,SorP!$B$1:$B$6230,0)),"",INDIRECT("'SorP'!$A$"&amp;MATCH($J1082,SorP!$B$1:$B$6230,0))))</f>
        <v/>
      </c>
      <c r="U1082" s="239"/>
      <c r="V1082" s="269" t="e">
        <f>IF(C1082="",NA(),MATCH($B1082&amp;$C1082,'Smelter Look-up'!$J:$J,0))</f>
        <v>#N/A</v>
      </c>
      <c r="W1082" s="270"/>
      <c r="X1082" s="270">
        <f t="shared" ca="1" si="52"/>
        <v>0</v>
      </c>
      <c r="Y1082" s="270"/>
      <c r="Z1082" s="270"/>
      <c r="AB1082" s="272" t="str">
        <f t="shared" si="53"/>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4">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5">IF(AND(C1083="Smelter not listed",OR(LEN(D1083)=0,LEN(E1083)=0)),1,0)</f>
        <v>0</v>
      </c>
      <c r="Y1083" s="270"/>
      <c r="Z1083" s="270"/>
      <c r="AB1083" s="272" t="str">
        <f t="shared" ref="AB1083:AB1146" si="56">B1083&amp;C1083</f>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4"/>
        <v/>
      </c>
      <c r="T1146" s="224" t="str">
        <f ca="1">IF(B1146="","",IF(ISERROR(MATCH($J1146,SorP!$B$1:$B$6230,0)),"",INDIRECT("'SorP'!$A$"&amp;MATCH($J1146,SorP!$B$1:$B$6230,0))))</f>
        <v/>
      </c>
      <c r="U1146" s="239"/>
      <c r="V1146" s="269" t="e">
        <f>IF(C1146="",NA(),MATCH($B1146&amp;$C1146,'Smelter Look-up'!$J:$J,0))</f>
        <v>#N/A</v>
      </c>
      <c r="W1146" s="270"/>
      <c r="X1146" s="270">
        <f t="shared" ca="1" si="55"/>
        <v>0</v>
      </c>
      <c r="Y1146" s="270"/>
      <c r="Z1146" s="270"/>
      <c r="AB1146" s="272" t="str">
        <f t="shared" si="56"/>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7">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8">IF(AND(C1147="Smelter not listed",OR(LEN(D1147)=0,LEN(E1147)=0)),1,0)</f>
        <v>0</v>
      </c>
      <c r="Y1147" s="270"/>
      <c r="Z1147" s="270"/>
      <c r="AB1147" s="272" t="str">
        <f t="shared" ref="AB1147:AB1210" si="59">B1147&amp;C1147</f>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7"/>
        <v/>
      </c>
      <c r="T1210" s="224" t="str">
        <f ca="1">IF(B1210="","",IF(ISERROR(MATCH($J1210,SorP!$B$1:$B$6230,0)),"",INDIRECT("'SorP'!$A$"&amp;MATCH($J1210,SorP!$B$1:$B$6230,0))))</f>
        <v/>
      </c>
      <c r="U1210" s="239"/>
      <c r="V1210" s="269" t="e">
        <f>IF(C1210="",NA(),MATCH($B1210&amp;$C1210,'Smelter Look-up'!$J:$J,0))</f>
        <v>#N/A</v>
      </c>
      <c r="W1210" s="270"/>
      <c r="X1210" s="270">
        <f t="shared" ca="1" si="58"/>
        <v>0</v>
      </c>
      <c r="Y1210" s="270"/>
      <c r="Z1210" s="270"/>
      <c r="AB1210" s="272" t="str">
        <f t="shared" si="59"/>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1">IF(AND(C1211="Smelter not listed",OR(LEN(D1211)=0,LEN(E1211)=0)),1,0)</f>
        <v>0</v>
      </c>
      <c r="Y1211" s="270"/>
      <c r="Z1211" s="270"/>
      <c r="AB1211" s="272" t="str">
        <f t="shared" ref="AB1211:AB1274" si="62">B1211&amp;C1211</f>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0"/>
        <v/>
      </c>
      <c r="T1274" s="224" t="str">
        <f ca="1">IF(B1274="","",IF(ISERROR(MATCH($J1274,SorP!$B$1:$B$6230,0)),"",INDIRECT("'SorP'!$A$"&amp;MATCH($J1274,SorP!$B$1:$B$6230,0))))</f>
        <v/>
      </c>
      <c r="U1274" s="239"/>
      <c r="V1274" s="269" t="e">
        <f>IF(C1274="",NA(),MATCH($B1274&amp;$C1274,'Smelter Look-up'!$J:$J,0))</f>
        <v>#N/A</v>
      </c>
      <c r="W1274" s="270"/>
      <c r="X1274" s="270">
        <f t="shared" ca="1" si="61"/>
        <v>0</v>
      </c>
      <c r="Y1274" s="270"/>
      <c r="Z1274" s="270"/>
      <c r="AB1274" s="272" t="str">
        <f t="shared" si="62"/>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4">IF(AND(C1275="Smelter not listed",OR(LEN(D1275)=0,LEN(E1275)=0)),1,0)</f>
        <v>0</v>
      </c>
      <c r="Y1275" s="270"/>
      <c r="Z1275" s="270"/>
      <c r="AB1275" s="272" t="str">
        <f t="shared" ref="AB1275:AB1338" si="65">B1275&amp;C1275</f>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3"/>
        <v/>
      </c>
      <c r="T1338" s="224" t="str">
        <f ca="1">IF(B1338="","",IF(ISERROR(MATCH($J1338,SorP!$B$1:$B$6230,0)),"",INDIRECT("'SorP'!$A$"&amp;MATCH($J1338,SorP!$B$1:$B$6230,0))))</f>
        <v/>
      </c>
      <c r="U1338" s="239"/>
      <c r="V1338" s="269" t="e">
        <f>IF(C1338="",NA(),MATCH($B1338&amp;$C1338,'Smelter Look-up'!$J:$J,0))</f>
        <v>#N/A</v>
      </c>
      <c r="W1338" s="270"/>
      <c r="X1338" s="270">
        <f t="shared" ca="1" si="64"/>
        <v>0</v>
      </c>
      <c r="Y1338" s="270"/>
      <c r="Z1338" s="270"/>
      <c r="AB1338" s="272" t="str">
        <f t="shared" si="65"/>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7">IF(AND(C1339="Smelter not listed",OR(LEN(D1339)=0,LEN(E1339)=0)),1,0)</f>
        <v>0</v>
      </c>
      <c r="Y1339" s="270"/>
      <c r="Z1339" s="270"/>
      <c r="AB1339" s="272" t="str">
        <f t="shared" ref="AB1339:AB1402" si="68">B1339&amp;C1339</f>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6"/>
        <v/>
      </c>
      <c r="T1402" s="224" t="str">
        <f ca="1">IF(B1402="","",IF(ISERROR(MATCH($J1402,SorP!$B$1:$B$6230,0)),"",INDIRECT("'SorP'!$A$"&amp;MATCH($J1402,SorP!$B$1:$B$6230,0))))</f>
        <v/>
      </c>
      <c r="U1402" s="239"/>
      <c r="V1402" s="269" t="e">
        <f>IF(C1402="",NA(),MATCH($B1402&amp;$C1402,'Smelter Look-up'!$J:$J,0))</f>
        <v>#N/A</v>
      </c>
      <c r="W1402" s="270"/>
      <c r="X1402" s="270">
        <f t="shared" ca="1" si="67"/>
        <v>0</v>
      </c>
      <c r="Y1402" s="270"/>
      <c r="Z1402" s="270"/>
      <c r="AB1402" s="272" t="str">
        <f t="shared" si="68"/>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9">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0">IF(AND(C1403="Smelter not listed",OR(LEN(D1403)=0,LEN(E1403)=0)),1,0)</f>
        <v>0</v>
      </c>
      <c r="Y1403" s="270"/>
      <c r="Z1403" s="270"/>
      <c r="AB1403" s="272" t="str">
        <f t="shared" ref="AB1403:AB1466" si="71">B1403&amp;C1403</f>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9"/>
        <v/>
      </c>
      <c r="T1466" s="224" t="str">
        <f ca="1">IF(B1466="","",IF(ISERROR(MATCH($J1466,SorP!$B$1:$B$6230,0)),"",INDIRECT("'SorP'!$A$"&amp;MATCH($J1466,SorP!$B$1:$B$6230,0))))</f>
        <v/>
      </c>
      <c r="U1466" s="239"/>
      <c r="V1466" s="269" t="e">
        <f>IF(C1466="",NA(),MATCH($B1466&amp;$C1466,'Smelter Look-up'!$J:$J,0))</f>
        <v>#N/A</v>
      </c>
      <c r="W1466" s="270"/>
      <c r="X1466" s="270">
        <f t="shared" ca="1" si="70"/>
        <v>0</v>
      </c>
      <c r="Y1466" s="270"/>
      <c r="Z1466" s="270"/>
      <c r="AB1466" s="272" t="str">
        <f t="shared" si="71"/>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2">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3">IF(AND(C1467="Smelter not listed",OR(LEN(D1467)=0,LEN(E1467)=0)),1,0)</f>
        <v>0</v>
      </c>
      <c r="Y1467" s="270"/>
      <c r="Z1467" s="270"/>
      <c r="AB1467" s="272" t="str">
        <f t="shared" ref="AB1467:AB1530" si="74">B1467&amp;C1467</f>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20.25">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20.25">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20.25">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3.5"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3.5"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86:B2493">
    <cfRule type="expression" dxfId="43" priority="28" stopIfTrue="1">
      <formula>IF(B586="",TRUE)</formula>
    </cfRule>
    <cfRule type="expression" dxfId="42" priority="39" stopIfTrue="1">
      <formula>IF(AND(COUNTIF(MetalSmelter,B586&amp;C586)=0,LEN(C586)&gt;0), TRUE, FALSE)</formula>
    </cfRule>
  </conditionalFormatting>
  <conditionalFormatting sqref="D586:D2493">
    <cfRule type="expression" dxfId="41" priority="22" stopIfTrue="1">
      <formula>IF(AND(LEN($C586) &gt;0, ($C586 &lt;&gt; "Smelter Not Listed")),1,0)</formula>
    </cfRule>
    <cfRule type="expression" dxfId="40" priority="47" stopIfTrue="1">
      <formula>IF(AND(D586="",$C586=$X$4),TRUE)</formula>
    </cfRule>
    <cfRule type="expression" dxfId="39" priority="48" stopIfTrue="1">
      <formula>IF(FIND("!",D586),TRUE)</formula>
    </cfRule>
  </conditionalFormatting>
  <conditionalFormatting sqref="G586:G2493">
    <cfRule type="expression" dxfId="38" priority="49" stopIfTrue="1">
      <formula>IF(FIND("Enter smelter details",G586),TRUE)</formula>
    </cfRule>
  </conditionalFormatting>
  <conditionalFormatting sqref="R586:R2494 E586:E2493">
    <cfRule type="expression" dxfId="37" priority="35" stopIfTrue="1">
      <formula>IF(AND(E586="",$C586=$X$4),TRUE)</formula>
    </cfRule>
    <cfRule type="expression" dxfId="36" priority="36" stopIfTrue="1">
      <formula>IF(FIND("!",E586),TRUE)</formula>
    </cfRule>
  </conditionalFormatting>
  <conditionalFormatting sqref="F586:F2493">
    <cfRule type="expression" dxfId="35" priority="26" stopIfTrue="1">
      <formula>IF(AND(LEN($A586)&gt;0,$A586&lt;&gt;$F586),TRUE,FALSE)</formula>
    </cfRule>
  </conditionalFormatting>
  <conditionalFormatting sqref="C586:C2493">
    <cfRule type="expression" dxfId="34" priority="25" stopIfTrue="1">
      <formula>IF(AND(B586&lt;&gt;"",C586=""),TRUE)</formula>
    </cfRule>
  </conditionalFormatting>
  <conditionalFormatting sqref="B5:B585">
    <cfRule type="expression" dxfId="33" priority="4" stopIfTrue="1">
      <formula>IF(B5="",TRUE)</formula>
    </cfRule>
    <cfRule type="expression" dxfId="32" priority="7" stopIfTrue="1">
      <formula>IF(AND(COUNTIF(MetalSmelter,B5&amp;C5)=0,LEN(C5)&gt;0), TRUE, FALSE)</formula>
    </cfRule>
  </conditionalFormatting>
  <conditionalFormatting sqref="D5:D585">
    <cfRule type="expression" dxfId="31" priority="1" stopIfTrue="1">
      <formula>IF(AND(LEN($C5) &gt;0, ($C5 &lt;&gt; "Smelter Not Listed")),1,0)</formula>
    </cfRule>
    <cfRule type="expression" dxfId="30" priority="8" stopIfTrue="1">
      <formula>IF(AND(D5="",$C5=$X$4),TRUE)</formula>
    </cfRule>
    <cfRule type="expression" dxfId="29" priority="9" stopIfTrue="1">
      <formula>IF(FIND("!",D5),TRUE)</formula>
    </cfRule>
  </conditionalFormatting>
  <conditionalFormatting sqref="G5:G585">
    <cfRule type="expression" dxfId="28" priority="10" stopIfTrue="1">
      <formula>IF(FIND("Enter smelter details",G5),TRUE)</formula>
    </cfRule>
  </conditionalFormatting>
  <conditionalFormatting sqref="R5:R585 E5:E585">
    <cfRule type="expression" dxfId="27" priority="5" stopIfTrue="1">
      <formula>IF(AND(E5="",$C5=$X$4),TRUE)</formula>
    </cfRule>
    <cfRule type="expression" dxfId="26" priority="6" stopIfTrue="1">
      <formula>IF(FIND("!",E5),TRUE)</formula>
    </cfRule>
  </conditionalFormatting>
  <conditionalFormatting sqref="F5:F585">
    <cfRule type="expression" dxfId="25" priority="3" stopIfTrue="1">
      <formula>IF(AND(LEN($A5)&gt;0,$A5&lt;&gt;$F5),TRUE,FALSE)</formula>
    </cfRule>
  </conditionalFormatting>
  <conditionalFormatting sqref="C5:C585">
    <cfRule type="expression" dxfId="24" priority="2"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40" t="str">
        <f ca="1">OFFSET(L!$C$1,MATCH("Checker"&amp;ADDRESS(ROW(),COLUMN(),4),L!$A:$A,0)-1,SL,,)</f>
        <v>To ensure all required fields have been populated before submitting to your customers review form for any line items highlighted in red</v>
      </c>
      <c r="B1" s="440"/>
      <c r="C1" s="440"/>
      <c r="D1" s="150" t="str">
        <f ca="1">OFFSET(L!$C$1,MATCH("Checker"&amp;ADDRESS(ROW(),COLUMN(),4),L!$A:$A,0)-1,SL,,)</f>
        <v>Required fields remaining to be completed</v>
      </c>
      <c r="E1" s="87" t="s">
        <v>917</v>
      </c>
    </row>
    <row r="2" spans="1:10" ht="15">
      <c r="A2" s="80" t="s">
        <v>1014</v>
      </c>
      <c r="B2" s="81" t="str">
        <f>IF(F62=1,"Click here to return to Smelter List","")</f>
        <v>Click here to return to Smelter List</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Diodes Incorporated</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f>Declaration!D10</f>
        <v>0</v>
      </c>
      <c r="C6" s="105" t="str">
        <f t="shared" ca="1" si="0"/>
        <v>Complete</v>
      </c>
      <c r="D6" s="111" t="str">
        <f>IF(H6=1,"Click here to provide a Description of Scope","")</f>
        <v/>
      </c>
      <c r="E6" s="87" t="s">
        <v>1437</v>
      </c>
      <c r="F6" s="110">
        <f>IF(OR(B5=Declaration!P9,B5=Declaration!Q9,B5=0),0,1)</f>
        <v>0</v>
      </c>
      <c r="G6" s="84">
        <f t="shared" si="1"/>
        <v>1</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David Fitton</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compliance@diodes.com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+44 161 622 4533</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David Fitton</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compliance@diodes.com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+44 161 622 4533</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43635</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Tantalum  (*)</v>
      </c>
      <c r="B15" s="105" t="str">
        <f>Declaration!D26</f>
        <v>Yes</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Gold  (*)</v>
      </c>
      <c r="B17" s="105" t="str">
        <f>Declaration!D28</f>
        <v>Yes</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Tungsten  (*)</v>
      </c>
      <c r="B18" s="105" t="str">
        <f>Declaration!D29</f>
        <v>Yes</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 (*)</v>
      </c>
      <c r="B19" s="108"/>
      <c r="C19" s="108"/>
      <c r="D19" s="112"/>
      <c r="E19" s="87" t="s">
        <v>919</v>
      </c>
      <c r="F19" s="109"/>
      <c r="G19" s="24"/>
      <c r="H19" s="24"/>
      <c r="J19" s="182"/>
    </row>
    <row r="20" spans="1:10" ht="39">
      <c r="A20" s="106" t="str">
        <f ca="1">Declaration!B32</f>
        <v>Tantalum  (*)</v>
      </c>
      <c r="B20" s="105" t="str">
        <f>IF($B$15="Yes",Declaration!D32,0)</f>
        <v>Yes</v>
      </c>
      <c r="C20" s="105" t="str">
        <f t="shared" ca="1" si="3"/>
        <v>Complete</v>
      </c>
      <c r="D20" s="113" t="str">
        <f>IF(H20=1,"Click here to answer question 2 for Tantalum","")</f>
        <v/>
      </c>
      <c r="E20" s="87" t="s">
        <v>918</v>
      </c>
      <c r="F20" s="110">
        <f>IF(B$15="No",0,1)</f>
        <v>1</v>
      </c>
      <c r="G20" s="84">
        <f t="shared" si="4"/>
        <v>0</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Gold  (*)</v>
      </c>
      <c r="B22" s="105" t="str">
        <f>IF($B$17="Yes",Declaration!D34,0)</f>
        <v>Yes</v>
      </c>
      <c r="C22" s="105" t="str">
        <f t="shared" ca="1" si="3"/>
        <v>Complete</v>
      </c>
      <c r="D22" s="113" t="str">
        <f>IF(H22=1,"Click here to answer question 2 for Gold","")</f>
        <v/>
      </c>
      <c r="E22" s="87" t="s">
        <v>918</v>
      </c>
      <c r="F22" s="110">
        <f>IF(B$17="No",0,1)</f>
        <v>1</v>
      </c>
      <c r="G22" s="84">
        <f t="shared" si="4"/>
        <v>0</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Tungsten  (*)</v>
      </c>
      <c r="B23" s="105" t="str">
        <f>IF($B$18="Yes",Declaration!D35,0)</f>
        <v>Yes</v>
      </c>
      <c r="C23" s="105" t="str">
        <f t="shared" ca="1" si="3"/>
        <v>Complete</v>
      </c>
      <c r="D23" s="113" t="str">
        <f>IF(H23=1,"Click here to answer question 2 for Tungsten","")</f>
        <v/>
      </c>
      <c r="E23" s="87" t="s">
        <v>918</v>
      </c>
      <c r="F23" s="110">
        <f>IF(B$18="No",0,1)</f>
        <v>1</v>
      </c>
      <c r="G23" s="84">
        <f t="shared" si="4"/>
        <v>0</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39">
      <c r="A25" s="106" t="str">
        <f ca="1">Declaration!B38</f>
        <v>Tantalum  (*)</v>
      </c>
      <c r="B25" s="105" t="str">
        <f>IF(AND($B$15="Yes",$B$20="Yes"),Declaration!D38,0)</f>
        <v>Yes</v>
      </c>
      <c r="C25" s="105" t="str">
        <f t="shared" ca="1" si="3"/>
        <v>Complete</v>
      </c>
      <c r="D25" s="113" t="str">
        <f>IF(H25=1,"Click here to answer question 3 for Tantalum","")</f>
        <v/>
      </c>
      <c r="E25" s="87" t="s">
        <v>918</v>
      </c>
      <c r="F25" s="110">
        <f>IF(OR(B15="No",B20="No"),0,1)</f>
        <v>1</v>
      </c>
      <c r="G25" s="84">
        <f t="shared" ref="G25:G60" si="5">IF(B25=0,1,0)</f>
        <v>0</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t="str">
        <f>IF(AND($B$16="Yes",$B$21="Yes"),Declaration!D39,0)</f>
        <v>Yes</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Gold  (*)</v>
      </c>
      <c r="B27" s="105" t="str">
        <f>IF(AND($B$17="Yes",$B$22="Yes"),Declaration!D40,0)</f>
        <v>Yes</v>
      </c>
      <c r="C27" s="105" t="str">
        <f t="shared" ca="1" si="3"/>
        <v>Complete</v>
      </c>
      <c r="D27" s="113" t="str">
        <f>IF(H27=1,"Click here to answer question 3 for Gold","")</f>
        <v/>
      </c>
      <c r="E27" s="87" t="s">
        <v>918</v>
      </c>
      <c r="F27" s="110">
        <f>IF(OR(B17="No",B22="No"),0,1)</f>
        <v>1</v>
      </c>
      <c r="G27" s="84">
        <f t="shared" si="5"/>
        <v>0</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Tungsten  (*)</v>
      </c>
      <c r="B28" s="105" t="str">
        <f>IF(AND($B$18="Yes",$B$23="Yes"),Declaration!D41,0)</f>
        <v>Yes</v>
      </c>
      <c r="C28" s="105" t="str">
        <f t="shared" ca="1" si="3"/>
        <v>Complete</v>
      </c>
      <c r="D28" s="113" t="str">
        <f>IF(H28=1,"Click here to answer question 3 for Tungsten","")</f>
        <v/>
      </c>
      <c r="E28" s="87" t="s">
        <v>918</v>
      </c>
      <c r="F28" s="110">
        <f>IF(OR(B18="No",B23="No"),0,1)</f>
        <v>1</v>
      </c>
      <c r="G28" s="84">
        <f t="shared" si="5"/>
        <v>0</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Tantalum  (*)</v>
      </c>
      <c r="B30" s="105" t="str">
        <f>IF(AND($B$15="Yes",$B$20="Yes"),Declaration!D44,0)</f>
        <v>No</v>
      </c>
      <c r="C30" s="105" t="str">
        <f ca="1">IF(H30=1,J30,I30)</f>
        <v>Complete</v>
      </c>
      <c r="D30" s="113" t="str">
        <f>IF(H30=1,"Click here to answer question 4 for Tantalum","")</f>
        <v/>
      </c>
      <c r="E30" s="87" t="s">
        <v>1437</v>
      </c>
      <c r="F30" s="110">
        <f>F25</f>
        <v>1</v>
      </c>
      <c r="G30" s="84">
        <f>IF(B30=0,1,0)</f>
        <v>0</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t="str">
        <f>IF(AND($B$16="Yes",$B$21="Yes"),Declaration!D45,0)</f>
        <v>No</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Gold  (*)</v>
      </c>
      <c r="B32" s="105" t="str">
        <f>IF(AND($B$17="Yes",$B$22="Yes"),Declaration!D46,0)</f>
        <v>No</v>
      </c>
      <c r="C32" s="105" t="str">
        <f ca="1">IF(H32=1,J32,I32)</f>
        <v>Complete</v>
      </c>
      <c r="D32" s="113" t="str">
        <f>IF(H32=1,"Click here to answer question 4 for Gold","")</f>
        <v/>
      </c>
      <c r="E32" s="87" t="s">
        <v>1437</v>
      </c>
      <c r="F32" s="110">
        <f>F27</f>
        <v>1</v>
      </c>
      <c r="G32" s="84">
        <f>IF(B32=0,1,0)</f>
        <v>0</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Tungsten  (*)</v>
      </c>
      <c r="B33" s="105" t="str">
        <f>IF(AND($B$18="Yes",$B$23="Yes"),Declaration!D47,0)</f>
        <v>No</v>
      </c>
      <c r="C33" s="105" t="str">
        <f ca="1">IF(H33=1,J33,I33)</f>
        <v>Complete</v>
      </c>
      <c r="D33" s="113" t="str">
        <f>IF(H33=1,"Click here to answer question 4 for Tungsten","")</f>
        <v/>
      </c>
      <c r="E33" s="87" t="s">
        <v>1437</v>
      </c>
      <c r="F33" s="110">
        <f>F28</f>
        <v>1</v>
      </c>
      <c r="G33" s="84">
        <f>IF(B33=0,1,0)</f>
        <v>0</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5) What percentage of relevant suppliers have provided a response to your supply chain survey?  (*)</v>
      </c>
      <c r="B34" s="108"/>
      <c r="C34" s="108"/>
      <c r="D34" s="112"/>
      <c r="E34" s="87" t="s">
        <v>918</v>
      </c>
      <c r="F34" s="109"/>
      <c r="G34" s="24"/>
      <c r="H34" s="24"/>
    </row>
    <row r="35" spans="1:10" ht="26.25">
      <c r="A35" s="106" t="str">
        <f ca="1">Declaration!B50</f>
        <v>Tantalum  (*)</v>
      </c>
      <c r="B35" s="105">
        <f>IF(AND($B$15="Yes",$B$20="Yes"),Declaration!D50,0)</f>
        <v>1</v>
      </c>
      <c r="C35" s="105" t="str">
        <f t="shared" ca="1" si="3"/>
        <v>Complete</v>
      </c>
      <c r="D35" s="111" t="str">
        <f>IF(H35=1,"Click here to answer question 5 for Tantalum","")</f>
        <v/>
      </c>
      <c r="E35" s="87" t="s">
        <v>917</v>
      </c>
      <c r="F35" s="110">
        <f>F25</f>
        <v>1</v>
      </c>
      <c r="G35" s="84">
        <f t="shared" si="5"/>
        <v>0</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Tin  (*)</v>
      </c>
      <c r="B36" s="105">
        <f>IF(AND($B$16="Yes",$B$21="Yes"),Declaration!D51,0)</f>
        <v>1</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Gold  (*)</v>
      </c>
      <c r="B37" s="105">
        <f>IF(AND($B$17="Yes",$B$22="Yes"),Declaration!D52,0)</f>
        <v>1</v>
      </c>
      <c r="C37" s="105" t="str">
        <f t="shared" ca="1" si="3"/>
        <v>Complete</v>
      </c>
      <c r="D37" s="111" t="str">
        <f>IF(H37=1,"Click here to answer question 5 for Gold","")</f>
        <v/>
      </c>
      <c r="E37" s="87" t="s">
        <v>917</v>
      </c>
      <c r="F37" s="110">
        <f>F27</f>
        <v>1</v>
      </c>
      <c r="G37" s="84">
        <f t="shared" si="5"/>
        <v>0</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Tungsten  (*)</v>
      </c>
      <c r="B38" s="105">
        <f>IF(AND($B$18="Yes",$B$23="Yes"),Declaration!D53,0)</f>
        <v>1</v>
      </c>
      <c r="C38" s="105" t="str">
        <f t="shared" ca="1" si="3"/>
        <v>Complete</v>
      </c>
      <c r="D38" s="111" t="str">
        <f>IF(H38=1,"Click here to answer question 5 for Tungsten","")</f>
        <v/>
      </c>
      <c r="E38" s="87" t="s">
        <v>917</v>
      </c>
      <c r="F38" s="110">
        <f>F28</f>
        <v>1</v>
      </c>
      <c r="G38" s="84">
        <f t="shared" si="5"/>
        <v>0</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6) Have you identified all of the smelters supplying the 3TG to your supply chain?  (*)</v>
      </c>
      <c r="B39" s="108"/>
      <c r="C39" s="108"/>
      <c r="D39" s="112"/>
      <c r="E39" s="87" t="s">
        <v>919</v>
      </c>
      <c r="F39" s="109"/>
      <c r="G39" s="24"/>
      <c r="H39" s="24"/>
    </row>
    <row r="40" spans="1:10" ht="51.75">
      <c r="A40" s="106" t="str">
        <f ca="1">Declaration!B56</f>
        <v>Tantalum  (*)</v>
      </c>
      <c r="B40" s="105" t="str">
        <f>IF(AND($B$15="Yes",$B$20="Yes"),Declaration!D56,0)</f>
        <v>Yes</v>
      </c>
      <c r="C40" s="105" t="str">
        <f t="shared" ca="1" si="3"/>
        <v>Complete</v>
      </c>
      <c r="D40" s="113" t="str">
        <f>IF(H40=1,"Click here to answer question 6 for Tantalum","")</f>
        <v/>
      </c>
      <c r="E40" s="87" t="s">
        <v>1433</v>
      </c>
      <c r="F40" s="110">
        <f>F25</f>
        <v>1</v>
      </c>
      <c r="G40" s="84">
        <f t="shared" si="5"/>
        <v>0</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Tin  (*)</v>
      </c>
      <c r="B41" s="105" t="str">
        <f>IF(AND($B$16="Yes",$B$21="Yes"),Declaration!D57,0)</f>
        <v>Yes</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Gold  (*)</v>
      </c>
      <c r="B42" s="105" t="str">
        <f>IF(AND($B$17="Yes",$B$22="Yes"),Declaration!D58,0)</f>
        <v>Yes</v>
      </c>
      <c r="C42" s="105" t="str">
        <f t="shared" ca="1" si="3"/>
        <v>Complete</v>
      </c>
      <c r="D42" s="113" t="str">
        <f>IF(H42=1,"Click here to answer question 6 for Gold","")</f>
        <v/>
      </c>
      <c r="E42" s="87" t="s">
        <v>1433</v>
      </c>
      <c r="F42" s="110">
        <f>F27</f>
        <v>1</v>
      </c>
      <c r="G42" s="84">
        <f t="shared" si="5"/>
        <v>0</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Tungsten  (*)</v>
      </c>
      <c r="B43" s="105" t="str">
        <f>IF(AND($B$18="Yes",$B$23="Yes"),Declaration!D59,0)</f>
        <v>Yes</v>
      </c>
      <c r="C43" s="105" t="str">
        <f t="shared" ca="1" si="3"/>
        <v>Complete</v>
      </c>
      <c r="D43" s="113" t="str">
        <f>IF(H43=1,"Click here to answer question 6 for Tungsten","")</f>
        <v/>
      </c>
      <c r="E43" s="87" t="s">
        <v>1433</v>
      </c>
      <c r="F43" s="110">
        <f>F28</f>
        <v>1</v>
      </c>
      <c r="G43" s="84">
        <f t="shared" si="5"/>
        <v>0</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7) Has all applicable smelter information received by your company been reported in this declaration?  (*)</v>
      </c>
      <c r="B44" s="108"/>
      <c r="C44" s="108"/>
      <c r="D44" s="112"/>
      <c r="E44" s="87" t="s">
        <v>920</v>
      </c>
      <c r="F44" s="109"/>
      <c r="G44" s="24"/>
      <c r="H44" s="24"/>
    </row>
    <row r="45" spans="1:10" ht="39">
      <c r="A45" s="106" t="str">
        <f ca="1">Declaration!B62</f>
        <v>Tantalum  (*)</v>
      </c>
      <c r="B45" s="105" t="str">
        <f>IF(AND($B$15="Yes",$B$20="Yes"),Declaration!D62,0)</f>
        <v>Yes</v>
      </c>
      <c r="C45" s="105" t="str">
        <f t="shared" ca="1" si="3"/>
        <v>Complete</v>
      </c>
      <c r="D45" s="114" t="str">
        <f>IF(H45=1,"Click here to answer question 7 for Tantalum","")</f>
        <v/>
      </c>
      <c r="E45" s="87" t="s">
        <v>918</v>
      </c>
      <c r="F45" s="110">
        <f>F25</f>
        <v>1</v>
      </c>
      <c r="G45" s="84">
        <f t="shared" si="5"/>
        <v>0</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Gold  (*)</v>
      </c>
      <c r="B47" s="105" t="str">
        <f>IF(AND($B$17="Yes",$B$22="Yes"),Declaration!D64,0)</f>
        <v>Yes</v>
      </c>
      <c r="C47" s="105" t="str">
        <f t="shared" ca="1" si="3"/>
        <v>Complete</v>
      </c>
      <c r="D47" s="114" t="str">
        <f>IF(H47=1,"Click here to answer question 7 for Gold","")</f>
        <v/>
      </c>
      <c r="E47" s="87" t="s">
        <v>918</v>
      </c>
      <c r="F47" s="110">
        <f>F27</f>
        <v>1</v>
      </c>
      <c r="G47" s="84">
        <f t="shared" si="5"/>
        <v>0</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Tungsten  (*)</v>
      </c>
      <c r="B48" s="105" t="str">
        <f>IF(AND($B$18="Yes",$B$23="Yes"),Declaration!D65,0)</f>
        <v>Yes</v>
      </c>
      <c r="C48" s="105" t="str">
        <f t="shared" ca="1" si="3"/>
        <v>Complete</v>
      </c>
      <c r="D48" s="114" t="str">
        <f>IF(H48=1,"Click here to answer question 7 for Tungsten","")</f>
        <v/>
      </c>
      <c r="E48" s="87" t="s">
        <v>918</v>
      </c>
      <c r="F48" s="110">
        <f>F28</f>
        <v>1</v>
      </c>
      <c r="G48" s="84">
        <f t="shared" si="5"/>
        <v>0</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Yes</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65" customHeight="1">
      <c r="A52" s="105" t="s">
        <v>6</v>
      </c>
      <c r="B52" s="105" t="str">
        <f>Declaration!G71</f>
        <v>https://www.diodes.com/assets/Uploads/DiodesIncorporatedStatementOnConflictMinerals.pdf</v>
      </c>
      <c r="C52" s="105" t="str">
        <f ca="1">IF(H52=1,J52,I52)</f>
        <v>Complete</v>
      </c>
      <c r="D52" s="111" t="str">
        <f>IF(H52=1,"Click here to specify URL for question (B)","")</f>
        <v/>
      </c>
      <c r="E52" s="87"/>
      <c r="F52" s="110">
        <f>IF(AND(F51=1,B51="Yes"),1,0)</f>
        <v>1</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 (*)</v>
      </c>
      <c r="B54" s="105" t="str">
        <f>Declaration!D75</f>
        <v>Yes</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t="str">
        <f>Declaration!D85</f>
        <v>Yes</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 ca="1">IF(K62=1,L62,IF(B15="No","Not Required",IF(G62=0,I62,J62)))</f>
        <v>Complete</v>
      </c>
      <c r="D62" s="111" t="str">
        <f ca="1">IF(H62=0,"","Click here to provide smelter information")</f>
        <v/>
      </c>
      <c r="E62" s="87" t="s">
        <v>1437</v>
      </c>
      <c r="F62" s="110">
        <f>F25</f>
        <v>1</v>
      </c>
      <c r="G62" s="84">
        <f ca="1">IF(AND(COUNTIF(SmelterIdetifiedForMetal,"Tantalum")&gt;0,COUNTIF('Smelter List'!AB$5:AB$2493,"Tantalum?*")&gt;0),0,1)</f>
        <v>0</v>
      </c>
      <c r="H62" s="85">
        <f t="shared" ca="1"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 ca="1">IF(K63=1,L63,IF(B16="No","Not Required",IF(G63=0,I63,J63)))</f>
        <v>Complete</v>
      </c>
      <c r="D63" s="111" t="str">
        <f ca="1">IF(H63=0,"","Click here to provide smelter information")</f>
        <v/>
      </c>
      <c r="E63" s="87" t="s">
        <v>918</v>
      </c>
      <c r="F63" s="110">
        <f>F26</f>
        <v>1</v>
      </c>
      <c r="G63" s="84">
        <f ca="1">IF(AND(COUNTIF(SmelterIdetifiedForMetal,"Tin")&gt;0,COUNTIF('Smelter List'!AB$5:AB$2493,"Tin?*")&gt;0),0,1)</f>
        <v>0</v>
      </c>
      <c r="H63" s="85">
        <f t="shared" ca="1"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 ca="1">IF(K64=1,L64,IF(B17="No","Not Required",IF(G64=0,I64,J64)))</f>
        <v>Complete</v>
      </c>
      <c r="D64" s="111" t="str">
        <f ca="1">IF(H64=0,"","Click here to provide smelter information")</f>
        <v/>
      </c>
      <c r="E64" s="87" t="s">
        <v>918</v>
      </c>
      <c r="F64" s="110">
        <f>F27</f>
        <v>1</v>
      </c>
      <c r="G64" s="84">
        <f ca="1">IF(AND(COUNTIF(SmelterIdetifiedForMetal,"Gold")&gt;0,COUNTIF('Smelter List'!AB$5:AB$2493,"Gold?*")&gt;0),0,1)</f>
        <v>0</v>
      </c>
      <c r="H64" s="85">
        <f t="shared" ca="1"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 ca="1">IF(K65=1,L65,IF(B18="No","Not Required",IF(G65=0,I65,J65)))</f>
        <v>Complete</v>
      </c>
      <c r="D65" s="111" t="str">
        <f ca="1">IF(H65=0,"","Click here to provide smelter information")</f>
        <v/>
      </c>
      <c r="E65" s="87" t="s">
        <v>918</v>
      </c>
      <c r="F65" s="110">
        <f>F28</f>
        <v>1</v>
      </c>
      <c r="G65" s="84">
        <f ca="1">IF(AND(COUNTIF(SmelterIdetifiedForMetal,"Tungsten")&gt;0,COUNTIF('Smelter List'!AB$5:AB$2493,"Tungsten?*")&gt;0),0,1)</f>
        <v>0</v>
      </c>
      <c r="H65" s="85">
        <f t="shared" ca="1"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 ca="1">IF(F66=0,J66,IF(G66=0,I66,L66))</f>
        <v>N/A</v>
      </c>
      <c r="D66" s="111"/>
      <c r="E66" s="87"/>
      <c r="F66" s="110">
        <f ca="1">IF(COUNTIF('Smelter List'!C5:C2493,"Smelter not listed")=0,0,1)</f>
        <v>0</v>
      </c>
      <c r="G66" s="84">
        <f ca="1">IF(OR(SUMPRODUCT(('Smelter List'!C5:C2493="Smelter not listed")*('Smelter List'!D5:D2493=""))&gt;0,SUMPRODUCT(('Smelter List'!C5:C2493="Smelter not listed")*('Smelter List'!E5:E2493=""))&gt;0),1,0)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42" t="str">
        <f ca="1">OFFSET(L!$C$1,MATCH("Product List"&amp;ADDRESS(ROW(),COLUMN(),4),L!$A:$A,0)-1,SL,,)</f>
        <v>Completion required only if reporting level "Product (or List of Products)" selected on the 'Declaration' worksheet.</v>
      </c>
      <c r="B1" s="443"/>
      <c r="C1" s="443"/>
      <c r="D1" s="443"/>
      <c r="E1" s="149"/>
    </row>
    <row r="2" spans="1:6">
      <c r="A2" s="29"/>
      <c r="B2" s="151"/>
      <c r="C2" s="151"/>
      <c r="D2"/>
      <c r="E2" s="30"/>
    </row>
    <row r="3" spans="1:6">
      <c r="A3" s="29"/>
      <c r="B3" s="151"/>
      <c r="C3" s="151"/>
      <c r="D3" s="151"/>
      <c r="E3" s="30"/>
    </row>
    <row r="4" spans="1:6" ht="15.75" customHeight="1">
      <c r="A4" s="29"/>
      <c r="B4" s="441" t="s">
        <v>1014</v>
      </c>
      <c r="C4" s="441"/>
      <c r="D4" s="441"/>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44" t="str">
        <f ca="1">OFFSET(L!$C$1,MATCH("General"&amp;"Cpy",L!$A:$A,0)-1,SL,,)</f>
        <v>© 2019 Responsible Minerals Initiative. All rights reserved.</v>
      </c>
      <c r="C1001" s="444"/>
      <c r="D1001" s="444"/>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87"/>
  <sheetViews>
    <sheetView zoomScaleNormal="100" zoomScalePageLayoutView="85" workbookViewId="0">
      <pane ySplit="4" topLeftCell="A5" activePane="bottomLeft" state="frozen"/>
      <selection pane="bottomLeft" sqref="A1:G1"/>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4" customHeight="1">
      <c r="A1" s="44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5"/>
      <c r="C1" s="445"/>
      <c r="D1" s="445"/>
      <c r="E1" s="445"/>
      <c r="F1" s="445"/>
      <c r="G1" s="445"/>
    </row>
    <row r="2" spans="1:16">
      <c r="A2" s="446"/>
      <c r="B2" s="446"/>
      <c r="C2" s="446"/>
      <c r="D2" s="446"/>
      <c r="E2" s="446"/>
      <c r="F2" s="446"/>
      <c r="G2" s="446"/>
      <c r="H2" s="446"/>
      <c r="I2" s="446"/>
    </row>
    <row r="3" spans="1:16">
      <c r="A3" s="446"/>
      <c r="B3" s="446"/>
      <c r="C3" s="446"/>
      <c r="D3" s="446"/>
      <c r="E3" s="446"/>
      <c r="F3" s="446"/>
      <c r="G3" s="446"/>
      <c r="H3" s="446"/>
      <c r="I3" s="446"/>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15484</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299.2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20">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ht="28.5">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ht="28.5">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ht="28.5">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ht="28.5">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ht="28.5">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ht="28.5">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ht="28.5">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8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Diodes</cp:lastModifiedBy>
  <cp:lastPrinted>2015-04-21T20:47:43Z</cp:lastPrinted>
  <dcterms:created xsi:type="dcterms:W3CDTF">2010-06-21T21:00:23Z</dcterms:created>
  <dcterms:modified xsi:type="dcterms:W3CDTF">2019-06-19T15:32:43Z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